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O:\51_QRNS\Structurele financiering\Glioblastoom\Bijlagen\"/>
    </mc:Choice>
  </mc:AlternateContent>
  <xr:revisionPtr revIDLastSave="0" documentId="8_{84D10EDA-454A-44A6-8892-5A9EAF5CBD4B}" xr6:coauthVersionLast="47" xr6:coauthVersionMax="47" xr10:uidLastSave="{00000000-0000-0000-0000-000000000000}"/>
  <bookViews>
    <workbookView xWindow="28680" yWindow="-120" windowWidth="29040" windowHeight="15840" activeTab="1" xr2:uid="{00000000-000D-0000-FFFF-FFFF00000000}"/>
  </bookViews>
  <sheets>
    <sheet name="Inclusiecriteria" sheetId="17" r:id="rId1"/>
    <sheet name="Analyse informatiebehoefte" sheetId="18" r:id="rId2"/>
    <sheet name="Datadictionary QRNS-glioblastoo" sheetId="9" r:id="rId3"/>
    <sheet name="DTVT" sheetId="25" r:id="rId4"/>
    <sheet name="Overige codelijsten" sheetId="20" r:id="rId5"/>
    <sheet name="Waardelijsten" sheetId="24" r:id="rId6"/>
    <sheet name="Datadictionary ZIBs" sheetId="19" r:id="rId7"/>
  </sheets>
  <definedNames>
    <definedName name="_xlnm._FilterDatabase" localSheetId="2" hidden="1">'Datadictionary QRNS-glioblastoo'!$H$1:$H$523</definedName>
  </definedNames>
  <calcPr calcId="191028" refMode="R1C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892" i="19" l="1"/>
  <c r="L891" i="19"/>
  <c r="L890" i="19"/>
  <c r="L889" i="19"/>
  <c r="L888" i="19"/>
  <c r="L887" i="19"/>
  <c r="L886" i="19"/>
  <c r="L885" i="19"/>
  <c r="L884" i="19"/>
  <c r="L883" i="19"/>
  <c r="L882" i="19"/>
  <c r="L881" i="19"/>
  <c r="L880" i="19"/>
  <c r="L878" i="19"/>
  <c r="L877" i="19"/>
  <c r="L876" i="19"/>
  <c r="L875" i="19"/>
  <c r="L871" i="19"/>
  <c r="L870" i="19"/>
  <c r="L869" i="19"/>
  <c r="L868" i="19"/>
  <c r="L867" i="19"/>
  <c r="L866" i="19"/>
  <c r="L865" i="19"/>
  <c r="L864" i="19"/>
  <c r="L863" i="19"/>
  <c r="L862" i="19"/>
  <c r="L861" i="19"/>
  <c r="L860" i="19"/>
  <c r="L859" i="19"/>
  <c r="L858" i="19"/>
  <c r="L857" i="19"/>
  <c r="L856" i="19"/>
  <c r="L855" i="19"/>
  <c r="L854" i="19"/>
  <c r="L853" i="19"/>
  <c r="L852" i="19"/>
  <c r="L851" i="19"/>
  <c r="L850" i="19"/>
  <c r="L849" i="19"/>
  <c r="L848" i="19"/>
  <c r="L847" i="19"/>
  <c r="L846" i="19"/>
  <c r="L845" i="19"/>
  <c r="L844" i="19"/>
  <c r="L843" i="19"/>
  <c r="L842" i="19"/>
  <c r="L841" i="19"/>
  <c r="L840" i="19"/>
  <c r="L839" i="19"/>
  <c r="L838" i="19"/>
  <c r="L837" i="19"/>
  <c r="L836" i="19"/>
  <c r="L835" i="19"/>
  <c r="L834" i="19"/>
  <c r="L833" i="19"/>
  <c r="L832" i="19"/>
  <c r="L831" i="19"/>
  <c r="L830" i="19"/>
  <c r="L829" i="19"/>
  <c r="L828" i="19"/>
  <c r="L827" i="19"/>
  <c r="L826" i="19"/>
  <c r="L825" i="19"/>
  <c r="L824" i="19"/>
  <c r="L823" i="19"/>
  <c r="L822" i="19"/>
  <c r="L821" i="19"/>
  <c r="L820" i="19"/>
  <c r="L819" i="19"/>
  <c r="L817" i="19"/>
  <c r="L816" i="19"/>
  <c r="L815" i="19"/>
  <c r="L814" i="19"/>
  <c r="L813" i="19"/>
  <c r="L812" i="19"/>
  <c r="L811" i="19"/>
  <c r="L810" i="19"/>
  <c r="L809" i="19"/>
  <c r="L808" i="19"/>
  <c r="L807" i="19"/>
  <c r="L804" i="19"/>
  <c r="L803" i="19"/>
  <c r="L801" i="19"/>
  <c r="L800" i="19"/>
  <c r="L799" i="19"/>
  <c r="L798" i="19"/>
  <c r="L797" i="19"/>
  <c r="L796" i="19"/>
  <c r="L795" i="19"/>
  <c r="L791" i="19"/>
  <c r="L790" i="19"/>
  <c r="L789" i="19"/>
  <c r="L788" i="19"/>
  <c r="L787" i="19"/>
  <c r="L785" i="19"/>
  <c r="L784" i="19"/>
  <c r="L783" i="19"/>
  <c r="L781" i="19"/>
  <c r="L780" i="19"/>
  <c r="L779" i="19"/>
  <c r="L778" i="19"/>
  <c r="L777" i="19"/>
  <c r="L776" i="19"/>
  <c r="L775" i="19"/>
  <c r="L774" i="19"/>
  <c r="L773" i="19"/>
  <c r="L772" i="19"/>
  <c r="L771" i="19"/>
  <c r="L770" i="19"/>
  <c r="L769" i="19"/>
  <c r="L768" i="19"/>
  <c r="L767" i="19"/>
  <c r="L766" i="19"/>
  <c r="L764" i="19"/>
  <c r="L761" i="19"/>
  <c r="L760" i="19"/>
  <c r="L755" i="19"/>
  <c r="L754" i="19"/>
  <c r="L752" i="19"/>
  <c r="L751" i="19"/>
  <c r="L750" i="19"/>
  <c r="L749" i="19"/>
  <c r="L748" i="19"/>
  <c r="L747" i="19"/>
  <c r="L744" i="19"/>
  <c r="L743" i="19"/>
  <c r="L742" i="19"/>
  <c r="L741" i="19"/>
  <c r="L740" i="19"/>
  <c r="L739" i="19"/>
  <c r="L738" i="19"/>
  <c r="L736" i="19"/>
  <c r="L735" i="19"/>
  <c r="L734" i="19"/>
  <c r="L733" i="19"/>
  <c r="L731" i="19"/>
  <c r="L730" i="19"/>
  <c r="L729" i="19"/>
  <c r="L728" i="19"/>
  <c r="L727" i="19"/>
  <c r="L726" i="19"/>
  <c r="L725" i="19"/>
  <c r="L724" i="19"/>
  <c r="L723" i="19"/>
  <c r="L722" i="19"/>
  <c r="L721" i="19"/>
  <c r="L720" i="19"/>
  <c r="L719" i="19"/>
  <c r="L718" i="19"/>
  <c r="L716" i="19"/>
  <c r="L715" i="19"/>
  <c r="L714" i="19"/>
  <c r="L713" i="19"/>
  <c r="L712" i="19"/>
  <c r="L711" i="19"/>
  <c r="L710" i="19"/>
  <c r="L709" i="19"/>
  <c r="L708" i="19"/>
  <c r="L707" i="19"/>
  <c r="L706" i="19"/>
  <c r="L705" i="19"/>
  <c r="L704" i="19"/>
  <c r="L703" i="19"/>
  <c r="L702" i="19"/>
  <c r="L701" i="19"/>
  <c r="L700" i="19"/>
  <c r="L699" i="19"/>
  <c r="L698" i="19"/>
  <c r="L697" i="19"/>
  <c r="L696" i="19"/>
  <c r="L695" i="19"/>
  <c r="L694" i="19"/>
  <c r="L693" i="19"/>
  <c r="L691" i="19"/>
  <c r="L690" i="19"/>
  <c r="L689" i="19"/>
  <c r="L688" i="19"/>
  <c r="L687" i="19"/>
  <c r="L686" i="19"/>
  <c r="L685" i="19"/>
  <c r="L684" i="19"/>
  <c r="L683" i="19"/>
  <c r="L680" i="19"/>
  <c r="L679" i="19"/>
  <c r="L678" i="19"/>
  <c r="L677" i="19"/>
  <c r="L676" i="19"/>
  <c r="L675" i="19"/>
  <c r="L674" i="19"/>
  <c r="L673" i="19"/>
  <c r="L672" i="19"/>
  <c r="L671" i="19"/>
  <c r="L670" i="19"/>
  <c r="L669" i="19"/>
  <c r="L668" i="19"/>
  <c r="L667" i="19"/>
  <c r="L666" i="19"/>
  <c r="L665" i="19"/>
  <c r="L664" i="19"/>
  <c r="L663" i="19"/>
  <c r="L662" i="19"/>
  <c r="L661" i="19"/>
  <c r="L660" i="19"/>
  <c r="L659" i="19"/>
  <c r="L658" i="19"/>
  <c r="L657" i="19"/>
  <c r="L656" i="19"/>
  <c r="L655" i="19"/>
  <c r="L654" i="19"/>
  <c r="L653" i="19"/>
  <c r="L652" i="19"/>
  <c r="L651" i="19"/>
  <c r="L650" i="19"/>
  <c r="L649" i="19"/>
  <c r="L648" i="19"/>
  <c r="L647" i="19"/>
  <c r="L646" i="19"/>
  <c r="L645" i="19"/>
  <c r="L644" i="19"/>
  <c r="L643" i="19"/>
  <c r="L642" i="19"/>
  <c r="L641" i="19"/>
  <c r="L640" i="19"/>
  <c r="L639" i="19"/>
  <c r="L638" i="19"/>
  <c r="L637" i="19"/>
  <c r="L636" i="19"/>
  <c r="L635" i="19"/>
  <c r="L634" i="19"/>
  <c r="L633" i="19"/>
  <c r="L632" i="19"/>
  <c r="L631" i="19"/>
  <c r="L630" i="19"/>
  <c r="L629" i="19"/>
  <c r="L628" i="19"/>
  <c r="L627" i="19"/>
  <c r="L626" i="19"/>
  <c r="L625" i="19"/>
  <c r="L624" i="19"/>
  <c r="L623" i="19"/>
  <c r="L622" i="19"/>
  <c r="L621" i="19"/>
  <c r="L620" i="19"/>
  <c r="L619" i="19"/>
  <c r="L618" i="19"/>
  <c r="L617" i="19"/>
  <c r="L616" i="19"/>
  <c r="L613" i="19"/>
  <c r="L609" i="19"/>
  <c r="L605" i="19"/>
  <c r="L604" i="19"/>
  <c r="L603" i="19"/>
  <c r="L602" i="19"/>
  <c r="L601" i="19"/>
  <c r="L600" i="19"/>
  <c r="L599" i="19"/>
  <c r="L598" i="19"/>
  <c r="L597" i="19"/>
  <c r="L596" i="19"/>
  <c r="L595" i="19"/>
  <c r="L594" i="19"/>
  <c r="L593" i="19"/>
  <c r="L592" i="19"/>
  <c r="L591" i="19"/>
  <c r="L590" i="19"/>
  <c r="L589" i="19"/>
  <c r="L588" i="19"/>
  <c r="L587" i="19"/>
  <c r="L586" i="19"/>
  <c r="L585" i="19"/>
  <c r="L584" i="19"/>
  <c r="L583" i="19"/>
  <c r="L582" i="19"/>
  <c r="L581" i="19"/>
  <c r="L580" i="19"/>
  <c r="L579" i="19"/>
  <c r="L578" i="19"/>
  <c r="L577" i="19"/>
  <c r="L576" i="19"/>
  <c r="L575" i="19"/>
  <c r="L574" i="19"/>
  <c r="L573" i="19"/>
  <c r="L572" i="19"/>
  <c r="L571" i="19"/>
  <c r="L570" i="19"/>
  <c r="L569" i="19"/>
  <c r="L568" i="19"/>
  <c r="L567" i="19"/>
  <c r="L566" i="19"/>
  <c r="L565" i="19"/>
  <c r="L564" i="19"/>
  <c r="L563" i="19"/>
  <c r="L562" i="19"/>
  <c r="L560" i="19"/>
  <c r="L559" i="19"/>
  <c r="L558" i="19"/>
  <c r="L557" i="19"/>
  <c r="L556" i="19"/>
  <c r="L555" i="19"/>
  <c r="L554" i="19"/>
  <c r="L553" i="19"/>
  <c r="L552" i="19"/>
  <c r="L551" i="19"/>
  <c r="L550" i="19"/>
  <c r="L549" i="19"/>
  <c r="L548" i="19"/>
  <c r="L547" i="19"/>
  <c r="L543" i="19"/>
  <c r="L542" i="19"/>
  <c r="L541" i="19"/>
  <c r="L540" i="19"/>
  <c r="L536" i="19"/>
  <c r="L535" i="19"/>
  <c r="L532" i="19"/>
  <c r="L531" i="19"/>
  <c r="L530" i="19"/>
  <c r="L529" i="19"/>
  <c r="L528" i="19"/>
  <c r="L527" i="19"/>
  <c r="L524" i="19"/>
  <c r="L523" i="19"/>
  <c r="L522" i="19"/>
  <c r="L521" i="19"/>
  <c r="L520" i="19"/>
  <c r="L519" i="19"/>
  <c r="L518" i="19"/>
  <c r="L517" i="19"/>
  <c r="L516" i="19"/>
  <c r="L513" i="19"/>
  <c r="L511" i="19"/>
  <c r="L510" i="19"/>
  <c r="L509" i="19"/>
  <c r="L508" i="19"/>
  <c r="L507" i="19"/>
  <c r="L505" i="19"/>
  <c r="L504" i="19"/>
  <c r="L503" i="19"/>
  <c r="L502" i="19"/>
  <c r="L501" i="19"/>
  <c r="L497" i="19"/>
  <c r="L496" i="19"/>
  <c r="L495" i="19"/>
  <c r="L494" i="19"/>
  <c r="L493" i="19"/>
  <c r="L491" i="19"/>
  <c r="L490" i="19"/>
  <c r="L489" i="19"/>
  <c r="L488" i="19"/>
  <c r="L487" i="19"/>
  <c r="L486" i="19"/>
  <c r="L485" i="19"/>
  <c r="L484" i="19"/>
  <c r="L483" i="19"/>
  <c r="L482" i="19"/>
  <c r="L481" i="19"/>
  <c r="L480" i="19"/>
  <c r="L479" i="19"/>
  <c r="L478" i="19"/>
  <c r="L477" i="19"/>
  <c r="L476" i="19"/>
  <c r="L475" i="19"/>
  <c r="L474" i="19"/>
  <c r="L473" i="19"/>
  <c r="L472" i="19"/>
  <c r="L471" i="19"/>
  <c r="L470" i="19"/>
  <c r="L469" i="19"/>
  <c r="L468" i="19"/>
  <c r="L467" i="19"/>
  <c r="L466" i="19"/>
  <c r="L465" i="19"/>
  <c r="L463" i="19"/>
  <c r="L462" i="19"/>
  <c r="L461" i="19"/>
  <c r="L459" i="19"/>
  <c r="L458" i="19"/>
  <c r="L457" i="19"/>
  <c r="L455" i="19"/>
  <c r="L453" i="19"/>
  <c r="L452" i="19"/>
  <c r="L451" i="19"/>
  <c r="L450" i="19"/>
  <c r="L448" i="19"/>
  <c r="L447" i="19"/>
  <c r="L446" i="19"/>
  <c r="L445" i="19"/>
  <c r="L444" i="19"/>
  <c r="L442" i="19"/>
  <c r="L441" i="19"/>
  <c r="L440" i="19"/>
  <c r="L439" i="19"/>
  <c r="L438" i="19"/>
  <c r="L437" i="19"/>
  <c r="L436" i="19"/>
  <c r="L435" i="19"/>
  <c r="L434" i="19"/>
  <c r="L433" i="19"/>
  <c r="L432" i="19"/>
  <c r="L431" i="19"/>
  <c r="L429" i="19"/>
  <c r="L428" i="19"/>
  <c r="L427" i="19"/>
  <c r="L426" i="19"/>
  <c r="L425" i="19"/>
  <c r="L424" i="19"/>
  <c r="L423" i="19"/>
  <c r="L422" i="19"/>
  <c r="L421" i="19"/>
  <c r="L420" i="19"/>
  <c r="L419" i="19"/>
  <c r="L418" i="19"/>
  <c r="L417" i="19"/>
  <c r="L416" i="19"/>
  <c r="L415" i="19"/>
  <c r="L414" i="19"/>
  <c r="L413" i="19"/>
  <c r="L412" i="19"/>
  <c r="L411" i="19"/>
  <c r="L410" i="19"/>
  <c r="L409" i="19"/>
  <c r="L408" i="19"/>
  <c r="L407" i="19"/>
  <c r="L406" i="19"/>
  <c r="L405" i="19"/>
  <c r="L404" i="19"/>
  <c r="L403" i="19"/>
  <c r="L402" i="19"/>
  <c r="L401" i="19"/>
  <c r="L400" i="19"/>
  <c r="L399" i="19"/>
  <c r="L398" i="19"/>
  <c r="L397" i="19"/>
  <c r="L396" i="19"/>
  <c r="L395" i="19"/>
  <c r="L394" i="19"/>
  <c r="L393" i="19"/>
  <c r="L391" i="19"/>
  <c r="L390" i="19"/>
  <c r="L389" i="19"/>
  <c r="L387" i="19"/>
  <c r="L386" i="19"/>
  <c r="L385" i="19"/>
  <c r="L384" i="19"/>
  <c r="L383" i="19"/>
  <c r="L382" i="19"/>
  <c r="L381" i="19"/>
  <c r="L380" i="19"/>
  <c r="L379" i="19"/>
  <c r="L378" i="19"/>
  <c r="L377" i="19"/>
  <c r="L376" i="19"/>
  <c r="L375" i="19"/>
  <c r="L374" i="19"/>
  <c r="L373" i="19"/>
  <c r="L372" i="19"/>
  <c r="L371" i="19"/>
  <c r="L370" i="19"/>
  <c r="L369" i="19"/>
  <c r="L368" i="19"/>
  <c r="L367" i="19"/>
  <c r="L366" i="19"/>
  <c r="L365" i="19"/>
  <c r="L364" i="19"/>
  <c r="L363" i="19"/>
  <c r="L359" i="19"/>
  <c r="L358" i="19"/>
  <c r="L357" i="19"/>
  <c r="L356" i="19"/>
  <c r="L355" i="19"/>
  <c r="L354" i="19"/>
  <c r="L353" i="19"/>
  <c r="L352" i="19"/>
  <c r="L351" i="19"/>
  <c r="L350" i="19"/>
  <c r="L349" i="19"/>
  <c r="L348" i="19"/>
  <c r="L347" i="19"/>
  <c r="L346" i="19"/>
  <c r="L345" i="19"/>
  <c r="L344" i="19"/>
  <c r="L343" i="19"/>
  <c r="L342" i="19"/>
  <c r="L341" i="19"/>
  <c r="L340" i="19"/>
  <c r="L339" i="19"/>
  <c r="L338" i="19"/>
  <c r="L337" i="19"/>
  <c r="L336" i="19"/>
  <c r="L335" i="19"/>
  <c r="L334" i="19"/>
  <c r="L333" i="19"/>
  <c r="L332" i="19"/>
  <c r="L331" i="19"/>
  <c r="L330" i="19"/>
  <c r="L329" i="19"/>
  <c r="L328" i="19"/>
  <c r="L327" i="19"/>
  <c r="L326" i="19"/>
  <c r="L325" i="19"/>
  <c r="L324" i="19"/>
  <c r="L323" i="19"/>
  <c r="L322" i="19"/>
  <c r="L321" i="19"/>
  <c r="L320" i="19"/>
  <c r="L319" i="19"/>
  <c r="L318" i="19"/>
  <c r="L317" i="19"/>
  <c r="L316" i="19"/>
  <c r="L315" i="19"/>
  <c r="L313" i="19"/>
  <c r="L312" i="19"/>
  <c r="L311" i="19"/>
  <c r="L310" i="19"/>
  <c r="L309" i="19"/>
  <c r="L308" i="19"/>
  <c r="L307" i="19"/>
  <c r="L306" i="19"/>
  <c r="L305" i="19"/>
  <c r="L304" i="19"/>
  <c r="L303" i="19"/>
  <c r="L302" i="19"/>
  <c r="L298" i="19"/>
  <c r="L297" i="19"/>
  <c r="L295" i="19"/>
  <c r="L294" i="19"/>
  <c r="L293" i="19"/>
  <c r="L292" i="19"/>
  <c r="L291" i="19"/>
  <c r="L290" i="19"/>
  <c r="L289" i="19"/>
  <c r="L288" i="19"/>
  <c r="L287" i="19"/>
  <c r="L284" i="19"/>
  <c r="L283" i="19"/>
  <c r="L282" i="19"/>
  <c r="L281" i="19"/>
  <c r="L280" i="19"/>
  <c r="L279" i="19"/>
  <c r="L278" i="19"/>
  <c r="L273" i="19"/>
  <c r="L272" i="19"/>
  <c r="L270" i="19"/>
  <c r="L269" i="19"/>
  <c r="L268" i="19"/>
  <c r="L267" i="19"/>
  <c r="L266" i="19"/>
  <c r="L265" i="19"/>
  <c r="L263" i="19"/>
  <c r="L262" i="19"/>
  <c r="L261" i="19"/>
  <c r="L260" i="19"/>
  <c r="L259" i="19"/>
  <c r="L258" i="19"/>
  <c r="L257" i="19"/>
  <c r="L256" i="19"/>
  <c r="L255" i="19"/>
  <c r="L254" i="19"/>
  <c r="L253" i="19"/>
  <c r="L252" i="19"/>
  <c r="L251" i="19"/>
  <c r="L250" i="19"/>
  <c r="L247" i="19"/>
  <c r="L246" i="19"/>
  <c r="L242" i="19"/>
  <c r="L241" i="19"/>
  <c r="L240" i="19"/>
  <c r="L239" i="19"/>
  <c r="L238" i="19"/>
  <c r="L237" i="19"/>
  <c r="L236" i="19"/>
  <c r="L235" i="19"/>
  <c r="L234" i="19"/>
  <c r="L233" i="19"/>
  <c r="L232" i="19"/>
  <c r="L231" i="19"/>
  <c r="L230" i="19"/>
  <c r="L229" i="19"/>
  <c r="L228" i="19"/>
  <c r="L227" i="19"/>
  <c r="L226" i="19"/>
  <c r="L225" i="19"/>
  <c r="L224" i="19"/>
  <c r="L223" i="19"/>
  <c r="L222" i="19"/>
  <c r="L221" i="19"/>
  <c r="L220" i="19"/>
  <c r="L219" i="19"/>
  <c r="L218" i="19"/>
  <c r="L217" i="19"/>
  <c r="L213" i="19"/>
  <c r="L206" i="19"/>
  <c r="L205" i="19"/>
  <c r="L204" i="19"/>
  <c r="L203" i="19"/>
  <c r="L202" i="19"/>
  <c r="L201" i="19"/>
  <c r="L198" i="19"/>
  <c r="L197" i="19"/>
  <c r="L196" i="19"/>
  <c r="L194" i="19"/>
  <c r="L193" i="19"/>
  <c r="L192" i="19"/>
  <c r="L191" i="19"/>
  <c r="L190" i="19"/>
  <c r="L189" i="19"/>
  <c r="L188" i="19"/>
  <c r="L187" i="19"/>
  <c r="L186" i="19"/>
  <c r="L185" i="19"/>
  <c r="L184" i="19"/>
  <c r="L183" i="19"/>
  <c r="L182" i="19"/>
  <c r="L180" i="19"/>
  <c r="L176" i="19"/>
  <c r="L175" i="19"/>
  <c r="L174" i="19"/>
  <c r="L173" i="19"/>
  <c r="L172" i="19"/>
  <c r="L171" i="19"/>
  <c r="L169" i="19"/>
  <c r="L162" i="19"/>
  <c r="L161" i="19"/>
  <c r="L160" i="19"/>
  <c r="L159" i="19"/>
  <c r="L158" i="19"/>
  <c r="L157" i="19"/>
  <c r="L156" i="19"/>
  <c r="L155" i="19"/>
  <c r="L154" i="19"/>
  <c r="L153" i="19"/>
  <c r="L152" i="19"/>
  <c r="L149" i="19"/>
  <c r="L148" i="19"/>
  <c r="L147" i="19"/>
  <c r="L146" i="19"/>
  <c r="L145" i="19"/>
  <c r="L144" i="19"/>
  <c r="L143" i="19"/>
  <c r="L142" i="19"/>
  <c r="L141" i="19"/>
  <c r="L140" i="19"/>
  <c r="L139" i="19"/>
  <c r="L138" i="19"/>
  <c r="L137" i="19"/>
  <c r="L136" i="19"/>
  <c r="L135" i="19"/>
  <c r="L134" i="19"/>
  <c r="L133" i="19"/>
  <c r="L132" i="19"/>
  <c r="L131" i="19"/>
  <c r="L130" i="19"/>
  <c r="L129" i="19"/>
  <c r="L128" i="19"/>
  <c r="L127" i="19"/>
  <c r="L126" i="19"/>
  <c r="L125" i="19"/>
  <c r="L124" i="19"/>
  <c r="L123" i="19"/>
  <c r="L122" i="19"/>
  <c r="L121" i="19"/>
  <c r="L120" i="19"/>
  <c r="L119" i="19"/>
  <c r="L118" i="19"/>
  <c r="L116" i="19"/>
  <c r="L115" i="19"/>
  <c r="L114" i="19"/>
  <c r="L113" i="19"/>
  <c r="L112" i="19"/>
  <c r="L111" i="19"/>
  <c r="L110" i="19"/>
  <c r="L109" i="19"/>
  <c r="L108" i="19"/>
  <c r="L107" i="19"/>
  <c r="L106" i="19"/>
  <c r="L105" i="19"/>
  <c r="L104" i="19"/>
  <c r="L103" i="19"/>
  <c r="L102" i="19"/>
  <c r="L101" i="19"/>
  <c r="L100" i="19"/>
  <c r="L99" i="19"/>
  <c r="L98" i="19"/>
  <c r="L97" i="19"/>
  <c r="L96" i="19"/>
  <c r="L95" i="19"/>
  <c r="L94" i="19"/>
  <c r="L91" i="19"/>
  <c r="L90" i="19"/>
  <c r="L89" i="19"/>
  <c r="L86" i="19"/>
  <c r="L85" i="19"/>
  <c r="L84" i="19"/>
  <c r="L83" i="19"/>
  <c r="L79" i="19"/>
  <c r="L78" i="19"/>
  <c r="L77" i="19"/>
  <c r="L76" i="19"/>
  <c r="L75" i="19"/>
  <c r="L74" i="19"/>
  <c r="L73" i="19"/>
  <c r="L72" i="19"/>
  <c r="L71" i="19"/>
  <c r="L70" i="19"/>
  <c r="L69" i="19"/>
  <c r="L68" i="19"/>
  <c r="L67" i="19"/>
  <c r="L66" i="19"/>
  <c r="L63" i="19"/>
  <c r="L62" i="19"/>
  <c r="L61" i="19"/>
  <c r="L60" i="19"/>
  <c r="L59" i="19"/>
  <c r="L58" i="19"/>
  <c r="L57" i="19"/>
  <c r="L56" i="19"/>
  <c r="L55" i="19"/>
  <c r="L54" i="19"/>
  <c r="L53" i="19"/>
  <c r="L52" i="19"/>
  <c r="L51" i="19"/>
  <c r="L50" i="19"/>
  <c r="L49" i="19"/>
  <c r="L47" i="19"/>
  <c r="L46" i="19"/>
  <c r="L45" i="19"/>
  <c r="L44" i="19"/>
  <c r="L43" i="19"/>
  <c r="L42" i="19"/>
  <c r="L41" i="19"/>
  <c r="L40" i="19"/>
  <c r="L39" i="19"/>
  <c r="L38" i="19"/>
  <c r="L37" i="19"/>
  <c r="L36" i="19"/>
  <c r="L35" i="19"/>
  <c r="L34" i="19"/>
  <c r="L33" i="19"/>
  <c r="L32" i="19"/>
  <c r="L31" i="19"/>
  <c r="L30" i="19"/>
  <c r="L29" i="19"/>
  <c r="L28" i="19"/>
  <c r="L27" i="19"/>
  <c r="L26" i="19"/>
  <c r="L25" i="19"/>
  <c r="L24" i="19"/>
  <c r="L23" i="19"/>
  <c r="L22" i="19"/>
  <c r="L21" i="19"/>
  <c r="L20" i="19"/>
  <c r="L19" i="19"/>
  <c r="L18" i="19"/>
  <c r="L17" i="19"/>
  <c r="L16" i="19"/>
  <c r="L15" i="19"/>
  <c r="L14" i="19"/>
  <c r="L13" i="19"/>
  <c r="L12" i="19"/>
  <c r="L11" i="19"/>
  <c r="L9" i="19"/>
  <c r="L8" i="19"/>
  <c r="L7" i="19"/>
  <c r="L6" i="19"/>
  <c r="L5" i="19"/>
  <c r="L4" i="19"/>
  <c r="L3" i="19"/>
  <c r="L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Kirsten Top-Smits</author>
    <author>Erik van der Velde</author>
  </authors>
  <commentList>
    <comment ref="B10" authorId="0" shapeId="0" xr:uid="{FE1DDE37-9A74-4776-94D3-49DB0A6ECB7A}">
      <text>
        <r>
          <rPr>
            <b/>
            <sz val="9"/>
            <color indexed="81"/>
            <rFont val="Tahoma"/>
            <family val="2"/>
          </rPr>
          <t>Kirsten Top-Smits:</t>
        </r>
        <r>
          <rPr>
            <sz val="9"/>
            <color indexed="81"/>
            <rFont val="Tahoma"/>
            <family val="2"/>
          </rPr>
          <t xml:space="preserve">
Achternaam
Voorletters
Patientnummer
Geslacht
Geboortedatum</t>
        </r>
      </text>
    </comment>
    <comment ref="C10" authorId="0" shapeId="0" xr:uid="{BB9A9FE5-7DD1-4A21-8045-770A0253170C}">
      <text>
        <r>
          <rPr>
            <b/>
            <sz val="9"/>
            <color indexed="81"/>
            <rFont val="Tahoma"/>
            <family val="2"/>
          </rPr>
          <t>Kirsten Top-Smits:
D</t>
        </r>
        <r>
          <rPr>
            <sz val="9"/>
            <color indexed="81"/>
            <rFont val="Tahoma"/>
            <family val="2"/>
          </rPr>
          <t>atum MRI preoperatief</t>
        </r>
        <r>
          <rPr>
            <b/>
            <sz val="9"/>
            <color indexed="81"/>
            <rFont val="Tahoma"/>
            <family val="2"/>
          </rPr>
          <t xml:space="preserve">
</t>
        </r>
      </text>
    </comment>
    <comment ref="D10" authorId="0" shapeId="0" xr:uid="{02ACDA34-078D-4608-8E98-879A7DD748A0}">
      <text>
        <r>
          <rPr>
            <b/>
            <sz val="9"/>
            <color indexed="81"/>
            <rFont val="Tahoma"/>
            <family val="2"/>
          </rPr>
          <t>Kirsten Top-Smits:</t>
        </r>
        <r>
          <rPr>
            <sz val="9"/>
            <color indexed="81"/>
            <rFont val="Tahoma"/>
            <family val="2"/>
          </rPr>
          <t xml:space="preserve">
Karnofsky score preoperatief
ASA classificatie
Clavien Dindo classificatie</t>
        </r>
      </text>
    </comment>
    <comment ref="E10" authorId="0" shapeId="0" xr:uid="{6881E379-BBDD-4E08-801B-9FAA88DE096B}">
      <text>
        <r>
          <rPr>
            <b/>
            <sz val="9"/>
            <color indexed="81"/>
            <rFont val="Tahoma"/>
            <family val="2"/>
          </rPr>
          <t>Kirsten Top-Smits:</t>
        </r>
        <r>
          <rPr>
            <sz val="9"/>
            <color indexed="81"/>
            <rFont val="Tahoma"/>
            <family val="2"/>
          </rPr>
          <t xml:space="preserve">
Preoprertaief MDO
</t>
        </r>
      </text>
    </comment>
    <comment ref="F10" authorId="0" shapeId="0" xr:uid="{D455F5C5-5E60-42F6-BD16-F1A8CEAE7813}">
      <text>
        <r>
          <rPr>
            <b/>
            <sz val="9"/>
            <color indexed="81"/>
            <rFont val="Tahoma"/>
            <family val="2"/>
          </rPr>
          <t>Kirsten Top-Smits:</t>
        </r>
        <r>
          <rPr>
            <sz val="9"/>
            <color indexed="81"/>
            <rFont val="Tahoma"/>
            <family val="2"/>
          </rPr>
          <t xml:space="preserve">
Behandeldatum
Datum operatie
Type operatie</t>
        </r>
      </text>
    </comment>
    <comment ref="G10" authorId="0" shapeId="0" xr:uid="{30BEEA5C-8A9A-4E10-9144-74034D0DC23F}">
      <text>
        <r>
          <rPr>
            <b/>
            <sz val="9"/>
            <color indexed="81"/>
            <rFont val="Tahoma"/>
            <family val="2"/>
          </rPr>
          <t>Kirsten Top-Smits:</t>
        </r>
        <r>
          <rPr>
            <sz val="9"/>
            <color indexed="81"/>
            <rFont val="Tahoma"/>
            <family val="2"/>
          </rPr>
          <t xml:space="preserve">
Pathologische diagnose
</t>
        </r>
      </text>
    </comment>
    <comment ref="H10" authorId="0" shapeId="0" xr:uid="{803FC3F4-33B9-4FBE-AE3B-9BBE84DDC442}">
      <text>
        <r>
          <rPr>
            <b/>
            <sz val="9"/>
            <color indexed="81"/>
            <rFont val="Tahoma"/>
            <family val="2"/>
          </rPr>
          <t>Kirsten Top-Smits:</t>
        </r>
        <r>
          <rPr>
            <sz val="9"/>
            <color indexed="81"/>
            <rFont val="Tahoma"/>
            <family val="2"/>
          </rPr>
          <t xml:space="preserve">
Nabehandeling
Startdatum radiotherapie
Radiotherapie in eigen ziekenhuis</t>
        </r>
      </text>
    </comment>
    <comment ref="I10" authorId="0" shapeId="0" xr:uid="{67D4FBBE-2C39-494E-9FB0-8EEEFF411BAC}">
      <text>
        <r>
          <rPr>
            <b/>
            <sz val="9"/>
            <color indexed="81"/>
            <rFont val="Tahoma"/>
            <family val="2"/>
          </rPr>
          <t>Kirsten Top-Smits:</t>
        </r>
        <r>
          <rPr>
            <sz val="9"/>
            <color indexed="81"/>
            <rFont val="Tahoma"/>
            <family val="2"/>
          </rPr>
          <t xml:space="preserve">
Karnofsky score
</t>
        </r>
      </text>
    </comment>
    <comment ref="J10" authorId="0" shapeId="0" xr:uid="{069403BD-A2CF-4C3B-BA98-CAC288E77BDB}">
      <text>
        <r>
          <rPr>
            <b/>
            <sz val="9"/>
            <color indexed="81"/>
            <rFont val="Tahoma"/>
            <family val="2"/>
          </rPr>
          <t>Kirsten Top-Smits:</t>
        </r>
        <r>
          <rPr>
            <sz val="9"/>
            <color indexed="81"/>
            <rFont val="Tahoma"/>
            <family val="2"/>
          </rPr>
          <t xml:space="preserve">
Karnofsky score preoperatief
Health related QoL (QLQ-C30)
Health related QoL (QLQ-BN20)</t>
        </r>
      </text>
    </comment>
    <comment ref="F11" authorId="0" shapeId="0" xr:uid="{5EF2F447-5DFF-4D9B-A609-786D94565B70}">
      <text>
        <r>
          <rPr>
            <b/>
            <sz val="9"/>
            <color indexed="81"/>
            <rFont val="Tahoma"/>
            <family val="2"/>
          </rPr>
          <t>Kirsten Top-Smits:</t>
        </r>
        <r>
          <rPr>
            <sz val="9"/>
            <color indexed="81"/>
            <rFont val="Tahoma"/>
            <family val="2"/>
          </rPr>
          <t xml:space="preserve">
Behandelcentrum</t>
        </r>
      </text>
    </comment>
    <comment ref="J11" authorId="0" shapeId="0" xr:uid="{22ADD03D-BD25-4938-A334-B0E355450228}">
      <text>
        <r>
          <rPr>
            <b/>
            <sz val="9"/>
            <color indexed="81"/>
            <rFont val="Tahoma"/>
            <family val="2"/>
          </rPr>
          <t>Kirsten Top-Smits:</t>
        </r>
        <r>
          <rPr>
            <sz val="9"/>
            <color indexed="81"/>
            <rFont val="Tahoma"/>
            <family val="2"/>
          </rPr>
          <t xml:space="preserve">
Startdatum vervolgbehandeling
Startdatum vervolgbehandeling / palliatieve behandeling</t>
        </r>
      </text>
    </comment>
    <comment ref="J12" authorId="0" shapeId="0" xr:uid="{970EBC41-916B-468A-A12F-EBA1BEF94F53}">
      <text>
        <r>
          <rPr>
            <b/>
            <sz val="9"/>
            <color indexed="81"/>
            <rFont val="Tahoma"/>
            <family val="2"/>
          </rPr>
          <t>Kirsten Top-Smits:</t>
        </r>
        <r>
          <rPr>
            <sz val="9"/>
            <color indexed="81"/>
            <rFont val="Tahoma"/>
            <family val="2"/>
          </rPr>
          <t xml:space="preserve">
Overlijdensdatum
Is patient overleden?</t>
        </r>
      </text>
    </comment>
    <comment ref="J13" authorId="0" shapeId="0" xr:uid="{C2A08A0C-ABCC-453D-B038-5233977F93D9}">
      <text>
        <r>
          <rPr>
            <b/>
            <sz val="9"/>
            <color indexed="81"/>
            <rFont val="Tahoma"/>
            <family val="2"/>
          </rPr>
          <t>Kirsten Top-Smits:</t>
        </r>
        <r>
          <rPr>
            <sz val="9"/>
            <color indexed="81"/>
            <rFont val="Tahoma"/>
            <family val="2"/>
          </rPr>
          <t xml:space="preserve">
Progressie</t>
        </r>
      </text>
    </comment>
    <comment ref="A32" authorId="1" shapeId="0" xr:uid="{E46B0244-A202-1B46-AF62-AEB174C2E44D}">
      <text>
        <r>
          <rPr>
            <b/>
            <sz val="9"/>
            <color indexed="81"/>
            <rFont val="Tahoma"/>
            <family val="2"/>
          </rPr>
          <t>Erik van der Velde:</t>
        </r>
        <r>
          <rPr>
            <sz val="9"/>
            <color indexed="81"/>
            <rFont val="Tahoma"/>
            <family val="2"/>
          </rPr>
          <t xml:space="preserve">
Weet je de bron ook te bepalen? Dus waar komen de gegegevens vandaan als ze worden. opgevraagd in het EPD scherm?  Patientgegevens komen uit de proces stap vaststellen zorgbehoefte bijvoorbeeld. Door dit te doen krijg je inizchtelijk waar je in het EPD hergebruik van de informatie kan doen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tc={48362CE2-7ABB-4CCA-A0A2-1BC93949442E}</author>
    <author>tc={AEBD36D0-C459-4123-A922-A470C16C63E9}</author>
  </authors>
  <commentList>
    <comment ref="D18" authorId="0" shapeId="0" xr:uid="{48362CE2-7ABB-4CCA-A0A2-1BC93949442E}">
      <text>
        <r>
          <rPr>
            <sz val="10"/>
            <color theme="1"/>
            <rFont val="Arial"/>
            <family val="2"/>
          </rPr>
          <t>[Opmerkingenthread]
U kunt deze opmerkingenthread lezen in uw versie van Excel. Eventuele wijzigingen aan de thread gaan echter verloren als het bestand wordt geopend in een nieuwere versie van Excel. Meer informatie: https://go.microsoft.com/fwlink/?linkid=870924
Opmerking:
    Volgens contacten bij AMC is met name WHO-gradering en IDH-wildtype belangrijk</t>
        </r>
      </text>
    </comment>
    <comment ref="J72" authorId="1" shapeId="0" xr:uid="{AEBD36D0-C459-4123-A922-A470C16C63E9}">
      <text>
        <r>
          <rPr>
            <sz val="10"/>
            <color theme="1"/>
            <rFont val="Arial"/>
            <family val="2"/>
          </rPr>
          <t>[Opmerkingenthread]
U kunt deze opmerkingenthread lezen in uw versie van Excel. Eventuele wijzigingen aan de thread gaan echter verloren als het bestand wordt geopend in een nieuwere versie van Excel. Meer informatie: https://go.microsoft.com/fwlink/?linkid=870924
Opmerking:
    Moeten we dit nog gaan navragen? Welke DTVT hier allemaal onder vallen?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tc={4F1381D4-632E-46E0-AE93-19A04036EBB6}</author>
    <author>tc={642DDD8F-7C87-4027-93D1-F228EFB01E87}</author>
  </authors>
  <commentList>
    <comment ref="D33" authorId="0" shapeId="0" xr:uid="{4F1381D4-632E-46E0-AE93-19A04036EBB6}">
      <text>
        <r>
          <rPr>
            <sz val="10"/>
            <color theme="1"/>
            <rFont val="Arial"/>
            <family val="2"/>
          </rPr>
          <t>[Opmerkingenthread]
U kunt deze opmerkingenthread lezen in uw versie van Excel. Eventuele wijzigingen aan de thread gaan echter verloren als het bestand wordt geopend in een nieuwere versie van Excel. Meer informatie: https://go.microsoft.com/fwlink/?linkid=870924
Opmerking:
    Moeten we dit nog gaan navragen? Welke DTVT hier allemaal onder vallen?</t>
        </r>
      </text>
    </comment>
    <comment ref="D34" authorId="1" shapeId="0" xr:uid="{642DDD8F-7C87-4027-93D1-F228EFB01E87}">
      <text>
        <r>
          <rPr>
            <sz val="10"/>
            <color theme="1"/>
            <rFont val="Arial"/>
            <family val="2"/>
          </rPr>
          <t>[Opmerkingenthread]
U kunt deze opmerkingenthread lezen in uw versie van Excel. Eventuele wijzigingen aan de thread gaan echter verloren als het bestand wordt geopend in een nieuwere versie van Excel. Meer informatie: https://go.microsoft.com/fwlink/?linkid=870924
Opmerking:
    Moeten we dit nog gaan navragen? Welke DTVT hier allemaal onder vallen?</t>
        </r>
      </text>
    </comment>
  </commentList>
</comments>
</file>

<file path=xl/sharedStrings.xml><?xml version="1.0" encoding="utf-8"?>
<sst xmlns="http://schemas.openxmlformats.org/spreadsheetml/2006/main" count="9428" uniqueCount="3621">
  <si>
    <t>Analyse informatiebehoefte Zorgproces/Kwaliteitsregistratie</t>
  </si>
  <si>
    <t xml:space="preserve">Bedrijfsproces:  </t>
  </si>
  <si>
    <t>naam bedrijfsproces</t>
  </si>
  <si>
    <t xml:space="preserve">Werkproces: </t>
  </si>
  <si>
    <t>Registratie / aanmelding</t>
  </si>
  <si>
    <t>Aanvullend onderzoek</t>
  </si>
  <si>
    <t>Anamnese (1e poli bezoek)</t>
  </si>
  <si>
    <t>MDO</t>
  </si>
  <si>
    <t>Behandeling (operatie)</t>
  </si>
  <si>
    <t>Pathologie</t>
  </si>
  <si>
    <t>Na-behandeling</t>
  </si>
  <si>
    <t>Ontslag</t>
  </si>
  <si>
    <t>Anamnese bij polibezoek</t>
  </si>
  <si>
    <t>Uitvoerder</t>
  </si>
  <si>
    <t>Bali medewerker</t>
  </si>
  <si>
    <t>PRIMAIR PROCES</t>
  </si>
  <si>
    <t>Te registreren informatie</t>
  </si>
  <si>
    <t>Element</t>
  </si>
  <si>
    <t>Patient</t>
  </si>
  <si>
    <t>Verrichting</t>
  </si>
  <si>
    <t>Algemene meting</t>
  </si>
  <si>
    <t>Probleem</t>
  </si>
  <si>
    <t>Zorgaanbieder</t>
  </si>
  <si>
    <t>TekstUitslag</t>
  </si>
  <si>
    <t>Benodigde informatie</t>
  </si>
  <si>
    <t>- bron</t>
  </si>
  <si>
    <t>KWALITEITSREGISTRATIE</t>
  </si>
  <si>
    <t>Naam registratie:</t>
  </si>
  <si>
    <t>Vaststellen zorgbehoefte</t>
  </si>
  <si>
    <t>1e poli-bezoek  diagnostiek neuroloog</t>
  </si>
  <si>
    <t>Aanvullend onderzoek radioloog</t>
  </si>
  <si>
    <t xml:space="preserve"> Aanvullend onderzoek lab</t>
  </si>
  <si>
    <t xml:space="preserve">2e poli-bezoek  diagnosegesprek neuroloog </t>
  </si>
  <si>
    <t>1e consult MS verpleegkundige</t>
  </si>
  <si>
    <t xml:space="preserve">3e (poli)-consult of andere vormen van consult vaststellen behandelplan </t>
  </si>
  <si>
    <t>Uitzetten PROM-meting 2 weken voor consult?</t>
  </si>
  <si>
    <t>4e polibezoek en daarna jaarlijks follow up minimaal 1 x per jaar ( komt de patient nog jaarlijks apart bij de VS?</t>
  </si>
  <si>
    <t>Aanvullend onderzoek radioloog (optioneel)</t>
  </si>
  <si>
    <t xml:space="preserve"> Aanvullend onderzoek neuroloog (optioneel)</t>
  </si>
  <si>
    <t>Voorbereiden kwaliteitsregistraties</t>
  </si>
  <si>
    <t>- definitie</t>
  </si>
  <si>
    <t>- wijze</t>
  </si>
  <si>
    <t>Vraag KWR</t>
  </si>
  <si>
    <t>(eventueel herhalen indien meerdere (kwaliteits)registraties op dit proces van toepassing zijn)</t>
  </si>
  <si>
    <t>Begrip</t>
  </si>
  <si>
    <t>ZIB</t>
  </si>
  <si>
    <t>Data element (Concept)</t>
  </si>
  <si>
    <t>Alias</t>
  </si>
  <si>
    <t xml:space="preserve">Alias Eng </t>
  </si>
  <si>
    <t>Type</t>
  </si>
  <si>
    <t>Card.</t>
  </si>
  <si>
    <t>Stereotype</t>
  </si>
  <si>
    <t>Id</t>
  </si>
  <si>
    <t>Definitie</t>
  </si>
  <si>
    <t>DefinitieCode</t>
  </si>
  <si>
    <t>Verwijzing</t>
  </si>
  <si>
    <t>Constraints</t>
  </si>
  <si>
    <t>BGZ</t>
  </si>
  <si>
    <t>Opmerking</t>
  </si>
  <si>
    <t>AlcoholGebruik</t>
  </si>
  <si>
    <t>AlcoholGebruik-v3.1(2017NL)</t>
  </si>
  <si>
    <t>EN: AlcoholUse</t>
  </si>
  <si>
    <t>rootconcept</t>
  </si>
  <si>
    <t>NL-CM:7.3.1</t>
  </si>
  <si>
    <t>Rootconcept van de bouwsteen AlcoholGebruik. Dit concept bevat alle gegevenselementen van de bouwsteen AlcoholGebruik.</t>
  </si>
  <si>
    <t>Ja</t>
  </si>
  <si>
    <t>Toelichting</t>
  </si>
  <si>
    <t>EN: Comment</t>
  </si>
  <si>
    <t>ST</t>
  </si>
  <si>
    <t>0..1</t>
  </si>
  <si>
    <t>data</t>
  </si>
  <si>
    <t>NL-CM:7.3.7</t>
  </si>
  <si>
    <t>Relevante opmerkingen over het gebruik.</t>
  </si>
  <si>
    <t>LOINC: 48767-8 Annotation comment</t>
  </si>
  <si>
    <t>AlcoholGebruikStatus</t>
  </si>
  <si>
    <t>EN: AlcoholUseStatus</t>
  </si>
  <si>
    <t>CD</t>
  </si>
  <si>
    <t>1</t>
  </si>
  <si>
    <t>NL-CM:7.3.2</t>
  </si>
  <si>
    <t>De status van het alcoholgebruik van de patiënt.</t>
  </si>
  <si>
    <t>SNOMED CT: 228273003 Finding related to alcohol drinking behavior (finding)</t>
  </si>
  <si>
    <t>WaarnemingGebruik</t>
  </si>
  <si>
    <t>EN: ObservationOfUse</t>
  </si>
  <si>
    <t>container</t>
  </si>
  <si>
    <t>NL-CM:7.3.3</t>
  </si>
  <si>
    <t>Container van het concept WaarnemingGebruik. Deze container bevat alle gegevenselementen over de waarneming van het gebruik van alcohol.</t>
  </si>
  <si>
    <t>StartDatum</t>
  </si>
  <si>
    <t>EN: StartDate</t>
  </si>
  <si>
    <t>TS</t>
  </si>
  <si>
    <t>NL-CM:7.3.4</t>
  </si>
  <si>
    <t>De datum waarop is gestart met het gebruik.</t>
  </si>
  <si>
    <t>StopDatum</t>
  </si>
  <si>
    <t>EN: StopDate</t>
  </si>
  <si>
    <t>NL-CM:7.3.5</t>
  </si>
  <si>
    <t>De datum waarop is gestopt met het gebruik.</t>
  </si>
  <si>
    <t>Hoeveelheid</t>
  </si>
  <si>
    <t>EN: Amount</t>
  </si>
  <si>
    <t>PQ</t>
  </si>
  <si>
    <t>NL-CM:7.3.6</t>
  </si>
  <si>
    <t>Omvang van het alcoholgebruik van de patiënt in eenheden alcoholische drank per tijdseenheid.</t>
  </si>
  <si>
    <t>SNOMED CT: 160573003 Alcohol intake (observable entity)</t>
  </si>
  <si>
    <t>Alert</t>
  </si>
  <si>
    <t>Alert-v3.2(2017NL)</t>
  </si>
  <si>
    <t>EN: Alert</t>
  </si>
  <si>
    <t>NL-CM:8.3.1</t>
  </si>
  <si>
    <t>Rootconcept van de bouwsteen Alert. Dit rootconcept bevat alle gegevenselementen van de bouwsteen Alert.</t>
  </si>
  <si>
    <t>ja</t>
  </si>
  <si>
    <t>Conditie::Probleem</t>
  </si>
  <si>
    <t>EN: Condition::Concern</t>
  </si>
  <si>
    <t>(0..1)</t>
  </si>
  <si>
    <t>data,reference</t>
  </si>
  <si>
    <t>NL-CM:8.3.3</t>
  </si>
  <si>
    <t>Een gezondheidsprobleem of toestand van de patiënt die de reden is van het alert. Het kan hierbij gaan om een probleem,toestand of diagnose van de patiënt die geldt als contra-indicatie bij het voorschrijven van medicatie of waarmee rekening moet worden gehouden bij het vormen van diagnostisch en therapeutisch beleid. Dit kan zijn in het belang van de patiënt zelf, maar het kan ook gaan om een probleem of aandoening waardoor de patiënt een risico vormt voor zijn omgeving, bijvoorbeeld besmettingsgevaar. Het betreft hier verwijzigingen naar condities die vermeld staan op de probleemlijst van de patiënt.
Indien sprake is van een contra-indicatie, dient het codesystem G-Standaard Contra Indicaties (Tabel 40) uit de ProbleemNaamCodelijst van de bouwsteen Probleem gekozen te worden.</t>
  </si>
  <si>
    <t>Dit is een verwijzing naar het rootconcept van de bouwsteen Probleem.</t>
  </si>
  <si>
    <t>AlertNaam</t>
  </si>
  <si>
    <t>EN: AlertName</t>
  </si>
  <si>
    <t>NL-CM:8.3.4</t>
  </si>
  <si>
    <t>Een waarschuwing, anders dan een conditie of probleem. Zo kan bijvoorbeeld als alert 'Agressieve patient' meegegeven worden.
De waarschuwing kan als een gecodeerd gegeven worden vasrgelegd (voor veelvoorkomende alerts zijn codes voorzien), maar gezien het dynamische karakter van de waarschuwingen cf. Sars en Ebola, zullen deze alerts vaak als vrije tekst doorgegeven worden.</t>
  </si>
  <si>
    <t>BeginDatumTijd</t>
  </si>
  <si>
    <t>EN: StartDateTime</t>
  </si>
  <si>
    <t>NL-CM:8.3.5</t>
  </si>
  <si>
    <t>De datum en tijd waarop de beschreven toestand als waarschuwing is aangemerkt. 
Dit kan een exacte datum en tijd zijn maar ook een globale aanduiding van de datum (bijvoorbeeld alleen jaar of jaar en maand).</t>
  </si>
  <si>
    <t>AlertType</t>
  </si>
  <si>
    <t>EN: AlertType</t>
  </si>
  <si>
    <t>NL-CM:8.3.6</t>
  </si>
  <si>
    <t>Geeft het type alert aan, dat wil zeggen een grove indeling van de oorzaak of oorsprong waaruit de waarschuwing voort komt.</t>
  </si>
  <si>
    <t>AllergieIntolerantie</t>
  </si>
  <si>
    <t>AllergieIntolerantie-v3.2(2017NL)</t>
  </si>
  <si>
    <t>EN: AllergyIntolerance</t>
  </si>
  <si>
    <t>NL-CM:8.2.1</t>
  </si>
  <si>
    <t>Rootconcept van de bouwsteen AllergieIntolerantie. Dit rootconcept bevat alle gegevenselementen van de bouwsteen AllergieIntolerantie.</t>
  </si>
  <si>
    <t>VeroorzakendeStof</t>
  </si>
  <si>
    <t>EN: CausativeAgent</t>
  </si>
  <si>
    <t>NL-CM:8.2.2</t>
  </si>
  <si>
    <t>Stof, groep stoffen of omgevingsfactor waar de patiënt allergisch of overgevoelig voor is.</t>
  </si>
  <si>
    <t>AllergieCategorie</t>
  </si>
  <si>
    <t>EN: AllergyCategory</t>
  </si>
  <si>
    <t>NL-CM:8.2.4</t>
  </si>
  <si>
    <t>Identificeert de categorie van de overgevoeligheid aan zoals medicatie, voedsel of omgeving.</t>
  </si>
  <si>
    <t>AllergieStatus</t>
  </si>
  <si>
    <t>EN: AllergyStatus</t>
  </si>
  <si>
    <t>NL-CM:8.2.5</t>
  </si>
  <si>
    <t>Bewering over de status van de overgevoeligheid.</t>
  </si>
  <si>
    <t>NL-CM:8.2.6</t>
  </si>
  <si>
    <t>De datum en tijd dat de allergie of de ongewenste reactie is vastgesteld. 
Dit kan een exacte datum en tijd zijn maar ook een globale aanduiding van de datum (bijvoorbeeld alleen jaar of jaar en maand).</t>
  </si>
  <si>
    <t>MateVanKritiekZijn</t>
  </si>
  <si>
    <t>EN: Criticality</t>
  </si>
  <si>
    <t>NL-CM:8.2.7</t>
  </si>
  <si>
    <t>Mate van kritiek zijn wordt gedefinieerd als "de potentiële ernst van toekomstige reacties."
Dit vertegenwoordigt een klinisch oordeel over het worst case scenario voor een toekomstige reactie. Het kan worden gebaseerd op de ernst van de reacties in het verleden, de dosis en de wijze van blootstelling die in het verleden reacties veroorzaakten, en de levensbedreigende potentie van het type reactie. Mate van kritiek zijn is een kenmerk van de allergische aandoening, niet van de reactie.</t>
  </si>
  <si>
    <t>SNOMED CT: 246112005 Severity</t>
  </si>
  <si>
    <t>LaatsteReactieDatumTijd</t>
  </si>
  <si>
    <t>EN: LastReactionDateTime</t>
  </si>
  <si>
    <t>NL-CM:8.2.8</t>
  </si>
  <si>
    <t>Opgave van de laatste maal dat een reactie in het licht van de overgevoeligheid is opgetreden.</t>
  </si>
  <si>
    <t>NL-CM:8.2.9</t>
  </si>
  <si>
    <t>Tekstuele toelichting op de overgevoeligheid die niet in één van de andere velden kan worden weergegeven.</t>
  </si>
  <si>
    <t>Reactie</t>
  </si>
  <si>
    <t>EN: Reaction</t>
  </si>
  <si>
    <t>0..*</t>
  </si>
  <si>
    <t>NL-CM:8.2.10</t>
  </si>
  <si>
    <t>Container van het concept Reactie. Deze container bevat alle gegevenselementen van het concept Reactie.</t>
  </si>
  <si>
    <t>Symptoom</t>
  </si>
  <si>
    <t>EN: Symptom</t>
  </si>
  <si>
    <t>1..*</t>
  </si>
  <si>
    <t>NL-CM:8.2.11</t>
  </si>
  <si>
    <t>De inhoudelijke specificatie van de reactie die optreedt indien de patiënt wordt blootgesteld aan de veroorzakende stof.</t>
  </si>
  <si>
    <t>SpecifiekeStof</t>
  </si>
  <si>
    <t>EN: SpecificSubstance</t>
  </si>
  <si>
    <t>NL-CM:8.2.12</t>
  </si>
  <si>
    <t>Meer specifieke aanduiding van de stof die de reactie opriep. Dit kan een specifieke stof uit een groep stoffen zijn waarvoor de patiënt allergisch of overgevoelig is.</t>
  </si>
  <si>
    <t>ReactieBeschrijving</t>
  </si>
  <si>
    <t>EN: ReactionDescription</t>
  </si>
  <si>
    <t>NL-CM:8.2.13</t>
  </si>
  <si>
    <t>Tekstuele beschrijving van de reactie als geheel.</t>
  </si>
  <si>
    <t>Ernst</t>
  </si>
  <si>
    <t>EN: Severity</t>
  </si>
  <si>
    <t>NL-CM:8.2.14</t>
  </si>
  <si>
    <t>De ernst van de reactie ten gevolge van de blootgestelling aan de veroorzakende stof.</t>
  </si>
  <si>
    <t>WijzeVanBlootstelling</t>
  </si>
  <si>
    <t>EN: RouteOfExposure</t>
  </si>
  <si>
    <t>NL-CM:8.2.15</t>
  </si>
  <si>
    <t>Wijze waarop de patiënt in aanraking is gekomen met de veroorzakende stof of de wijze waarop  de stof toegediend is.</t>
  </si>
  <si>
    <t>ReactieTijdstip</t>
  </si>
  <si>
    <t>EN: ReactionTime</t>
  </si>
  <si>
    <t>NL-CM:8.2.17</t>
  </si>
  <si>
    <t>Datum en tijd waarop de reactie plaats gevonden heeft. Dit mag ook alleen een datum of een gedeeltelijke datum zijn, indien dit niet nauwkeuriger bekend is.</t>
  </si>
  <si>
    <t>BehandelAanwijzing</t>
  </si>
  <si>
    <t>BehandelAanwijzing-v3.1(2017NL)</t>
  </si>
  <si>
    <t>EN: TreatmentDirective</t>
  </si>
  <si>
    <t>NL-CM:2.1.1</t>
  </si>
  <si>
    <t>Rootconcept van de bouwsteen BehandelAanwijzing. Dit concept bevat alle gegevenselementen van de bouwsteen BehandelAanwijzing.</t>
  </si>
  <si>
    <t>Verificatie</t>
  </si>
  <si>
    <t>EN: Verification</t>
  </si>
  <si>
    <t>NL-CM:2.1.8</t>
  </si>
  <si>
    <t>Container van het concept Verificatie. Deze container bevat alle gegevenselementen van het concept Verificatie.</t>
  </si>
  <si>
    <t>Geverifieerd</t>
  </si>
  <si>
    <t>EN: Verified</t>
  </si>
  <si>
    <t>BL</t>
  </si>
  <si>
    <t>NL-CM:2.1.9</t>
  </si>
  <si>
    <t>Indicatie van het feit dat de behandelaanwijzing geverifieerd is met de patiënt, zijn familie en/of gevolmachtigde.</t>
  </si>
  <si>
    <t>GeverifieerdBij</t>
  </si>
  <si>
    <t>EN: VerifiedWith</t>
  </si>
  <si>
    <t>NL-CM:2.1.11</t>
  </si>
  <si>
    <t>De persoon met wie de behandelaanwijzing is besproken en geverifieerd.</t>
  </si>
  <si>
    <t>VerificatieDatum</t>
  </si>
  <si>
    <t>EN: VerificationDate</t>
  </si>
  <si>
    <t>NL-CM:2.1.10</t>
  </si>
  <si>
    <t>Datum waarop de verificatie met de patiënt, zijn familie en/of gevolmachtigde heeft plaatsgevonden.</t>
  </si>
  <si>
    <t>Behandeling</t>
  </si>
  <si>
    <t>EN: Treatment</t>
  </si>
  <si>
    <t>NL-CM:2.1.3</t>
  </si>
  <si>
    <t>De medische behandeling waarop de behandelaanwijzing betrekking heeft.</t>
  </si>
  <si>
    <t>SNOMED CT: 50731006 Medical procedure (procedure)</t>
  </si>
  <si>
    <t>BehandelingToegestaan</t>
  </si>
  <si>
    <t>EN: TreatmentPermitted</t>
  </si>
  <si>
    <t>NL-CM:2.1.4</t>
  </si>
  <si>
    <t>Indicatie van het al dan niet of met beperkingen toestaan van de behandelingen.</t>
  </si>
  <si>
    <t>Beperkingen</t>
  </si>
  <si>
    <t>EN: Restrictions</t>
  </si>
  <si>
    <t>NL-CM:2.1.5</t>
  </si>
  <si>
    <t>De beperkingen of specifieke omstandigheden die voor een bepaalde behandeling gelden.</t>
  </si>
  <si>
    <t>Als Toegestaan = Ja, maar met beperkingen (JA_MAAR)</t>
  </si>
  <si>
    <t>BeginDatum</t>
  </si>
  <si>
    <t>NL-CM:2.1.6</t>
  </si>
  <si>
    <t>Datum waarop de behandelaanwijzing van kracht is geworden. Een vage datum, bijv. alleen een jaartal, is toegestaan.</t>
  </si>
  <si>
    <t>EindDatum</t>
  </si>
  <si>
    <t>EN: EndDate</t>
  </si>
  <si>
    <t>NL-CM:2.1.7</t>
  </si>
  <si>
    <t>Datum waarop de behandelaanwijzing eindigt. Een vage datum, bijv. alleen een jaartal, is toegestaan.
Indien de geldigheid van de behandelaanwijzing niet als datum is uit te drukken, bijvoorbeeld "tot aan ontslag uit het ziekenhuis" kan dit in het concept Toelichting vermeld worden.</t>
  </si>
  <si>
    <t>NL-CM:2.1.15</t>
  </si>
  <si>
    <t>Opmerkingen bij de behandelaanwijzing. Bijvoorbeeld, een tekstuele beschrijving van een einddatum van de behandelaanwijzing die als datum is aan te geven ("tot aan ontslag uit het ziekenhuis").</t>
  </si>
  <si>
    <t>Wilsverklaring</t>
  </si>
  <si>
    <t>EN: AdvanceDirective</t>
  </si>
  <si>
    <t>NL-CM:2.1.14</t>
  </si>
  <si>
    <t>Een (schriftelijke) verklaring waarin een persoon wensen aangeeft met betrekking tot toekomstig medisch handelen, voor het geval deze persoon op dat moment niet meer in staat is (of wordt geacht) hierover beslissingen te nemen.</t>
  </si>
  <si>
    <t>Dit is een verwijzing naar het rootconcept van de bouwsteen Wilsverklaring.</t>
  </si>
  <si>
    <t>Betaler</t>
  </si>
  <si>
    <t>Betaler-v3.1(2017NL)</t>
  </si>
  <si>
    <t>EN: Payer</t>
  </si>
  <si>
    <t>NL-CM:1.1.1</t>
  </si>
  <si>
    <t>Rootconcept van de bouwsteen Betaler. Dit rootconcept bevat alle gegevenselementen van de bouwsteen Betaler.</t>
  </si>
  <si>
    <t>BetalerPersoon</t>
  </si>
  <si>
    <t>EN: PayerPerson</t>
  </si>
  <si>
    <t>NL-CM:1.1.2</t>
  </si>
  <si>
    <t>Container van het concept BetalerPersoon. Deze container bevat alle gegevenselementen van het concept BetalerPersoon.</t>
  </si>
  <si>
    <t>BetalerNaam</t>
  </si>
  <si>
    <t>EN: PayerName</t>
  </si>
  <si>
    <t>NL-CM:1.1.5</t>
  </si>
  <si>
    <t>Naamgegevens van de betalende persoon of organisatie (rechtspersoon).</t>
  </si>
  <si>
    <t>Bankgegevens</t>
  </si>
  <si>
    <t>EN: BankInformation</t>
  </si>
  <si>
    <t>NL-CM:1.1.4</t>
  </si>
  <si>
    <t>Container van het concept Bankgegevens. Deze container bevat alle gegevenselementen van het concept Bankgegevens.</t>
  </si>
  <si>
    <t>BankNaam</t>
  </si>
  <si>
    <t>EN: BankName</t>
  </si>
  <si>
    <t>NL-CM:1.1.9</t>
  </si>
  <si>
    <t>Naam van de financiële instelling.</t>
  </si>
  <si>
    <t>Bankcode</t>
  </si>
  <si>
    <t>EN: BankCode</t>
  </si>
  <si>
    <t>NL-CM:1.1.10</t>
  </si>
  <si>
    <t>Code die de bank en het filiaal aangeven. Voor Europese landen is dat de BIC of SWIFT code van de instelling.</t>
  </si>
  <si>
    <t>Rekeningnummer</t>
  </si>
  <si>
    <t>EN: AccountNumber</t>
  </si>
  <si>
    <t>NL-CM:1.1.11</t>
  </si>
  <si>
    <t>Rekeningnummer van de betaler bij de genoemde instelling. Voor Europese landen is dit het IBAN nummer.</t>
  </si>
  <si>
    <t>Verzekeraar</t>
  </si>
  <si>
    <t>EN: InsuranceCompany</t>
  </si>
  <si>
    <t>NL-CM:1.1.3</t>
  </si>
  <si>
    <t>Container van het concept Verzekeraar. Deze container bevat alle gegevenselementen van het concept Verzekeraar.</t>
  </si>
  <si>
    <t>Verzekering</t>
  </si>
  <si>
    <t>EN: Insurance</t>
  </si>
  <si>
    <t>NL-CM:1.1.8</t>
  </si>
  <si>
    <t>Container van het concept Verzekering. Deze container bevat alle gegevenselementen van het concept Verzekering.</t>
  </si>
  <si>
    <t>NL-CM:1.1.13</t>
  </si>
  <si>
    <t>Datum vanaf wanneer de dekking van de verzekering geldt.</t>
  </si>
  <si>
    <t>EindDatumTijd</t>
  </si>
  <si>
    <t>EN: EndDateTime</t>
  </si>
  <si>
    <t>NL-CM:1.1.14</t>
  </si>
  <si>
    <t/>
  </si>
  <si>
    <t>Verzekeringssoort</t>
  </si>
  <si>
    <t>EN: InsuranceType</t>
  </si>
  <si>
    <t>NL-CM:1.1.15</t>
  </si>
  <si>
    <t>Soort verzekering. Codes zoals geretourneerd bij de controle op verzekeringsrecht</t>
  </si>
  <si>
    <t>IdentificatieNummer</t>
  </si>
  <si>
    <t>EN: IdentificationNumber</t>
  </si>
  <si>
    <t>II</t>
  </si>
  <si>
    <t>NL-CM:1.1.7</t>
  </si>
  <si>
    <t>Unieke zorgverzekeraarsidentificatie (het UZOVI-nummer).</t>
  </si>
  <si>
    <t>OrganisatieNaam</t>
  </si>
  <si>
    <t>EN: OrganizationName</t>
  </si>
  <si>
    <t>NL-CM:1.1.16</t>
  </si>
  <si>
    <t>De naamgegevens van de zorgverzekeraar. Indien het UZOVI nummer als identificatienummer wordt opgegeven, is dit de naam zoals vermeld in het UZOVI register en ook bij de controle op verzekeringsrecht (COV) wordt teruggegeven.</t>
  </si>
  <si>
    <t>VerzekerdeNummer</t>
  </si>
  <si>
    <t>EN: InsurantNumber</t>
  </si>
  <si>
    <t>NL-CM:1.1.6</t>
  </si>
  <si>
    <t>Adresgegevens</t>
  </si>
  <si>
    <t>EN: AddressInformation</t>
  </si>
  <si>
    <t>NL-CM:1.1.17</t>
  </si>
  <si>
    <t>Adresgegevens van betaler.</t>
  </si>
  <si>
    <t>Dit is een verwijzing naar het rootconcept van de sub-bouwsteen Adresgegevens.</t>
  </si>
  <si>
    <t>Contactgegevens</t>
  </si>
  <si>
    <t>EN: ContactInformation</t>
  </si>
  <si>
    <t>NL-CM:1.1.12</t>
  </si>
  <si>
    <t>Telefoonnummer en/of e-mailadres van betaler.</t>
  </si>
  <si>
    <t>Dit is een verwijzing naar het rootconcept van de sub-bouwsteen Contactgegevens</t>
  </si>
  <si>
    <t>Bloeddruk</t>
  </si>
  <si>
    <t>Bloeddruk-v3.1(2017NL)</t>
  </si>
  <si>
    <t>EN: BloodPressure</t>
  </si>
  <si>
    <t>NL-CM:12.4.1</t>
  </si>
  <si>
    <t>Rootconcept van de bouwsteen Bloeddruk. Dit rootconcept bevat alle gegevenselementen van de bouwsteen Bloeddruk.</t>
  </si>
  <si>
    <t>LOINC: 55284-4 Blood pressure systolic and diastolic</t>
  </si>
  <si>
    <t>Meetmethode</t>
  </si>
  <si>
    <t>EN: MeasuringMethod</t>
  </si>
  <si>
    <t>NL-CM:12.4.7</t>
  </si>
  <si>
    <t>De soort methode die is toegepast voor het meten van de bloeddruk.</t>
  </si>
  <si>
    <t>ManchetType</t>
  </si>
  <si>
    <t>EN: CuffType</t>
  </si>
  <si>
    <t>NL-CM:12.4.9</t>
  </si>
  <si>
    <t>De grootte van de manchet gebruikt bij de meting.</t>
  </si>
  <si>
    <t>SNOMED CT: 70665002 blood pressure cuff</t>
  </si>
  <si>
    <t>MeetLocatie</t>
  </si>
  <si>
    <t>EN: MeasuringLocation</t>
  </si>
  <si>
    <t>NL-CM:12.4.10</t>
  </si>
  <si>
    <t>Lichaamslocatie waar de bloeddruk is gemeten.</t>
  </si>
  <si>
    <t>DiastolischEindpunt</t>
  </si>
  <si>
    <t>EN: DiastolicEndpoint</t>
  </si>
  <si>
    <t>NL-CM:12.4.8</t>
  </si>
  <si>
    <t>Registratie van de Korotkoff toon die gebruikt is om de diastolische druk te meten met de auscultatieve methode.</t>
  </si>
  <si>
    <t>SNOMED CT: 85549003 Korotkoff sound</t>
  </si>
  <si>
    <t>SystolischeBloeddruk</t>
  </si>
  <si>
    <t>EN: SystolicBloodPressure</t>
  </si>
  <si>
    <t>NL-CM:12.4.2</t>
  </si>
  <si>
    <t>De hoogste (piek) systemische arteriële bloeddruk - gemeten in de systolische of samentrekkingsfase van de hartslag.</t>
  </si>
  <si>
    <t>LOINC: 8480-6 Systolic blood pressure</t>
  </si>
  <si>
    <t>DiastolischeBloeddruk</t>
  </si>
  <si>
    <t>EN: DiastolicBloodPressure</t>
  </si>
  <si>
    <t>NL-CM:12.4.3</t>
  </si>
  <si>
    <t>De laagste systemische arteriële bloeddruk - gemeten in de diastolische of ontspanningsfase van de hartslag.</t>
  </si>
  <si>
    <t>LOINC: 8462-4 Diastolic blood pressure</t>
  </si>
  <si>
    <t>GemiddeldeBloeddruk</t>
  </si>
  <si>
    <t>EN: AverageBloodPressure</t>
  </si>
  <si>
    <t>data,derived</t>
  </si>
  <si>
    <t>NL-CM:12.4.4</t>
  </si>
  <si>
    <t>De gemiddelde bloeddruk gedurende één cyclus van samentrekken en ontspannen van het hart.
Deze wordt geschat op basis van de boven- en onderdruk. Die schatting is onbetrouwbaar bij circulatiestoornissen. Alleen bij een invasief gemeten bloeddruk kan deze waarde betrouwbaar vastgesteld worden.</t>
  </si>
  <si>
    <t>SNOMED CT: 6797001 mean arterial pressure</t>
  </si>
  <si>
    <t>BloeddrukDatumTijd</t>
  </si>
  <si>
    <t>EN: BloodPressureDateTime</t>
  </si>
  <si>
    <t>NL-CM:12.4.5</t>
  </si>
  <si>
    <t>De datum en tijd, dat de bloeddrukwaarden werden verkregen.</t>
  </si>
  <si>
    <t>NL-CM:12.4.6</t>
  </si>
  <si>
    <t>Opmerkingen over de gemeten bloeddruk. Hier kan bijvoorbeeld een toelichting worden gegeven op omstandigheden die de meting hebben beïnvloed, zoals pijn, (in)spanning en slaap/waak toestand.</t>
  </si>
  <si>
    <t>Houding</t>
  </si>
  <si>
    <t>EN: Position</t>
  </si>
  <si>
    <t>NL-CM:12.4.11</t>
  </si>
  <si>
    <t>De houding van de patiënt bij het meten van de bloeddruk.</t>
  </si>
  <si>
    <t>BurgerlijkeStaatRC</t>
  </si>
  <si>
    <t>BurgerlijkeStaat-v3.0(2017NL)</t>
  </si>
  <si>
    <t>EN: MaritalStatusRC</t>
  </si>
  <si>
    <t>NL-CM:7.9.1</t>
  </si>
  <si>
    <t>Rootconcept van de bouwsteen BurgerlijkeStaat. Dit concept bevat alle gegevenselementen van de bouwsteen BurgerlijkeStaat.</t>
  </si>
  <si>
    <t>BurgerlijkeStaat</t>
  </si>
  <si>
    <t>EN: MaritalStatus</t>
  </si>
  <si>
    <t>NL-CM:7.9.2</t>
  </si>
  <si>
    <t>De burgerlijke staat van een mens in de zin en betekenis van het burgerlijk wetboek.</t>
  </si>
  <si>
    <t>Contactpersoon</t>
  </si>
  <si>
    <t>Contactpersoon-v3.1(2017NL)</t>
  </si>
  <si>
    <t>EN: Contact</t>
  </si>
  <si>
    <t>NL-CM:3.1.1</t>
  </si>
  <si>
    <t>Rootconcept van de bouwsteen Contactpersoon. Dit rootconcept bevat alle gegevenselementen van de bouwsteen Contactpersoon.</t>
  </si>
  <si>
    <t>Naamgegevens</t>
  </si>
  <si>
    <t>EN: NameInformation</t>
  </si>
  <si>
    <t>NL-CM:3.1.4</t>
  </si>
  <si>
    <t>Naamgegevens van contactpersoon.</t>
  </si>
  <si>
    <t>Dit is een verwijzing naar het rootconcept van de sub-bouwsteen Naamgegevens.</t>
  </si>
  <si>
    <t>NL-CM:3.1.6</t>
  </si>
  <si>
    <t>Telefoonnummer en/of e-mailadres van contactpersoon.</t>
  </si>
  <si>
    <t>Dit is een verwijzing naar het rootconcept van de sub-bouwsteen Contactgegevens.</t>
  </si>
  <si>
    <t>NL-CM:3.1.5</t>
  </si>
  <si>
    <t>Adresgegevens van contactpersoon.</t>
  </si>
  <si>
    <t>Dit is een verwijzing naar het rootconcept van de sub-bouwsteen Adresgegevens .</t>
  </si>
  <si>
    <t>Rol</t>
  </si>
  <si>
    <t>EN: Role</t>
  </si>
  <si>
    <t>NL-CM:3.1.2</t>
  </si>
  <si>
    <t>Definieert de rol van de contactpersoon in relatie tot de patiënt.</t>
  </si>
  <si>
    <t>Relatie</t>
  </si>
  <si>
    <t>EN: Relationship</t>
  </si>
  <si>
    <t>NL-CM:3.1.3</t>
  </si>
  <si>
    <t>Definieert de familiaire relatie van de contactpersoon tot de patiënt.</t>
  </si>
  <si>
    <t>Contact</t>
  </si>
  <si>
    <t>Contact-v3.1(2017NL)</t>
  </si>
  <si>
    <t>EN: Encounter</t>
  </si>
  <si>
    <t>NL-CM:15.1.1</t>
  </si>
  <si>
    <t>Rootconcept van de bouwsteen Contact. Dit concept bevat alle gegevenselementen van de bouwsteen Contact.</t>
  </si>
  <si>
    <t>ContactType</t>
  </si>
  <si>
    <t>EN: ContactType</t>
  </si>
  <si>
    <t>NL-CM:15.1.2</t>
  </si>
  <si>
    <t>Het type contact.</t>
  </si>
  <si>
    <t>ContactMet::Zorgverlener</t>
  </si>
  <si>
    <t>EN: ContactWith::HealthProfessional</t>
  </si>
  <si>
    <t>context,reference</t>
  </si>
  <si>
    <t>NL-CM:15.1.7</t>
  </si>
  <si>
    <t>De zorgverlener waarmee het contact heeft plaatsgevonden. In de bouwsteen Zorgverlener kan tevens het specialisme en de rol van de zorgverlener vastgelegd worden.</t>
  </si>
  <si>
    <t>Dit is een verwijzing naar het rootconcept van de bouwsteen Zorgverlener.</t>
  </si>
  <si>
    <t>Locatie::Zorgaanbieder</t>
  </si>
  <si>
    <t>EN: Location::HealthcareProvider</t>
  </si>
  <si>
    <t>NL-CM:15.1.8</t>
  </si>
  <si>
    <t>De fysieke locatie waar het contact heeft plaatsgevonden.</t>
  </si>
  <si>
    <t>Dit is een verwijzing het rootconcept van de bouwsteen Zorgaanbieder.</t>
  </si>
  <si>
    <t>NL-CM:15.1.3</t>
  </si>
  <si>
    <t>Datum en tijd waarop het contact heeft plaatsgevonden.</t>
  </si>
  <si>
    <t>NL-CM:15.1.4</t>
  </si>
  <si>
    <t>Datum en tijd waarop het contact is geëindigd. Als het contact een periode betreft wordt hiermee het einde van deze periode aangeduid, bijvoorbeeld bij een opname.</t>
  </si>
  <si>
    <t>RedenContact</t>
  </si>
  <si>
    <t>EN: ContactReason</t>
  </si>
  <si>
    <t>NL-CM:15.1.13</t>
  </si>
  <si>
    <t>Container van het concept RedenContact. Deze container bevat alle gegevenselementen van het concept RedenContact.</t>
  </si>
  <si>
    <t>EN: Problem</t>
  </si>
  <si>
    <t>NL-CM:15.1.6</t>
  </si>
  <si>
    <t>Het probleem dat aanleiding is geweest voor het contact.</t>
  </si>
  <si>
    <t>EN: Procedure</t>
  </si>
  <si>
    <t>NL-CM:15.1.11</t>
  </si>
  <si>
    <t>De verrichting die tijdens het contact is uitgevoerd.</t>
  </si>
  <si>
    <t>Dit is een verwijzing naar het rootconcept van de bouwsteen Verrichting.</t>
  </si>
  <si>
    <t>AfwijkendeUitslag</t>
  </si>
  <si>
    <t>EN: DeviatingResult</t>
  </si>
  <si>
    <t>NL-CM:15.1.12</t>
  </si>
  <si>
    <t>Een afwijkende uitslag die als reden voor het contact geldt.</t>
  </si>
  <si>
    <t>Herkomst</t>
  </si>
  <si>
    <t>EN: Origin</t>
  </si>
  <si>
    <t>NL-CM:15.1.14</t>
  </si>
  <si>
    <t>Locatie waar de patient vandaan kwam voor het contact. Meestal zal dit alleen bij een ziekenhuisopname gebruikt worden.</t>
  </si>
  <si>
    <t>Bestemming</t>
  </si>
  <si>
    <t>EN: Destination</t>
  </si>
  <si>
    <t>NL-CM:15.1.16</t>
  </si>
  <si>
    <t>Locatie waar de patient naar toe gaat na het contact. Meestal zal dit alleen bij een ziekenhuisontslag gebruikt worden.</t>
  </si>
  <si>
    <t>DrugsGebruik</t>
  </si>
  <si>
    <t>DrugsGebruik-v3.2(2017NL)</t>
  </si>
  <si>
    <t>EN: DrugUse</t>
  </si>
  <si>
    <t>NL-CM:7.4.1</t>
  </si>
  <si>
    <t>Rootconcept van de bouwsteen DrugsGebruik. Dit concept bevat alle gegevenselementen van de bouwsteen DrugsGebruik.</t>
  </si>
  <si>
    <t>NL-CM:7.4.5</t>
  </si>
  <si>
    <t>Container voor WaarnemingGebruik. Deze container bevat alle gegevenselementen van de container WaarnemingGebruik.</t>
  </si>
  <si>
    <t>NL-CM:7.4.6</t>
  </si>
  <si>
    <t>NL-CM:7.4.7</t>
  </si>
  <si>
    <t>De datum waarop is gestopt met het gebruik</t>
  </si>
  <si>
    <t>NL-CM:7.4.8</t>
  </si>
  <si>
    <t>Het aantal eenheden (pillen, joints, shots etc.) per dag, week, maand of jaar of de freqentie van gebruik.</t>
  </si>
  <si>
    <t>NL-CM:7.4.9</t>
  </si>
  <si>
    <t>DrugsOfGeneesmiddelSoort</t>
  </si>
  <si>
    <t>EN: DrugOrMedicationType</t>
  </si>
  <si>
    <t>NL-CM:7.4.2</t>
  </si>
  <si>
    <t>Soort drugs die de patiënt gebruikt.</t>
  </si>
  <si>
    <t>DrugsGebruikStatus</t>
  </si>
  <si>
    <t>EN: DrugUseStatus</t>
  </si>
  <si>
    <t>NL-CM:7.4.3</t>
  </si>
  <si>
    <t>Indicatie of in het heden of verleden sprake is (geweest) van gebruik van drugs.</t>
  </si>
  <si>
    <t>SNOMED CT: 228366006 Finding related to drug misuse behaviour (finding)</t>
  </si>
  <si>
    <t>Toedieningsweg</t>
  </si>
  <si>
    <t>EN: RouteOfAdministration</t>
  </si>
  <si>
    <t>NL-CM:7.4.4</t>
  </si>
  <si>
    <t>De wijze de drugs wordt gebruikt.</t>
  </si>
  <si>
    <t>SNOMED CT: 410675002 Route of administration</t>
  </si>
  <si>
    <t>FunctioneleOfMentaleStatus</t>
  </si>
  <si>
    <t>FunctioneleOfMentaleStatus-v3.1(2017NL)</t>
  </si>
  <si>
    <t>EN: FunctionalOrMentalStatus</t>
  </si>
  <si>
    <t>NL-CM:4.26.1</t>
  </si>
  <si>
    <t>Rootconcept van FunctioneleOfMentaleStatus. Dit concept bevat alle gegevenselementen van de bouwsteen FunctioneleOfMentaleStatus.</t>
  </si>
  <si>
    <t>StatusNaam</t>
  </si>
  <si>
    <t>EN: StatusName</t>
  </si>
  <si>
    <t>NL-CM:4.26.2</t>
  </si>
  <si>
    <t>Gecodeerde omschrijving van de functionele of mentale status of beperking.
Gebruikte codesystemen zijn:
-  SNOMED CT
-  ICF (International Classification of Functioning, Disability and Health)
-  NOC (Nursing Outcomes Classification)
-  OMAHA</t>
  </si>
  <si>
    <t>nl.zorg.FunctioneleOfMentaleStatus-v3.1(2017NL)</t>
  </si>
  <si>
    <t>StatusWaarde</t>
  </si>
  <si>
    <t>EN: StatusValue</t>
  </si>
  <si>
    <t>CO</t>
  </si>
  <si>
    <t>NL-CM:4.26.3</t>
  </si>
  <si>
    <t>De mate waarin de functionele of mentale conditie beperkend is.
Indien zowel statusnaam als statuswaarde gecodeerd vastgelegd worden, dienen beide waarden uit hetzelfde codesysteem te komen. 
Indien de patiënt een hulpmiddel gebruikt, vindt de beoordeling van de mate van beperking plaats zonder gebruik van dit hulpmiddel.</t>
  </si>
  <si>
    <t>StatusDatum</t>
  </si>
  <si>
    <t>EN: StatusDate</t>
  </si>
  <si>
    <t>NL-CM:4.26.6</t>
  </si>
  <si>
    <t>Datum waarop de status is vastgesteld. Een vage datum, b.v. alleen een jaartal is toegestaan.</t>
  </si>
  <si>
    <t>NL-CM:4.26.4</t>
  </si>
  <si>
    <t>Toelichtende opmerking als omschrijving van de functionele of mentale status.</t>
  </si>
  <si>
    <t>LOINC: 48767-8  Annotation comment</t>
  </si>
  <si>
    <t>Hulpmiddel::MedischHulpmiddel</t>
  </si>
  <si>
    <t>EN: MedicalDevice:MedicalDevice</t>
  </si>
  <si>
    <t>NL-CM:4.26.5</t>
  </si>
  <si>
    <t>Hulpmiddel dat de patiënt ter beschikking heeft om de impact van de beperking of stoornis te verminderen.</t>
  </si>
  <si>
    <t>Dit is een verwijzing naar het rootconcept van de bouwsteen MedischHulpmiddel.</t>
  </si>
  <si>
    <t>LaboratoriumUitslag</t>
  </si>
  <si>
    <t>LaboratoriumUitslag-v4.1(2017NL)</t>
  </si>
  <si>
    <t>EN: LaboratoryTestResult</t>
  </si>
  <si>
    <t>NL-CM:13.1.1</t>
  </si>
  <si>
    <t>Rootconcept van de bouwsteen LaboratoriumUitslag. Dit rootconcept bevat alle gegevenselementen van de bouwsteen LaboratoriumUitslag.</t>
  </si>
  <si>
    <t>Monster</t>
  </si>
  <si>
    <t>EN: Specimen</t>
  </si>
  <si>
    <t>NL-CM:13.1.2</t>
  </si>
  <si>
    <t>Container van het concept Monster. Deze container bevat alle gegevenselementen van het concept Monster.</t>
  </si>
  <si>
    <t>SNOMED CT: 123038009  monster</t>
  </si>
  <si>
    <t>Monsternummer</t>
  </si>
  <si>
    <t>EN: SpecimenId</t>
  </si>
  <si>
    <t>NL-CM:13.1.15</t>
  </si>
  <si>
    <t>Identificerend nummer van het afgenomen materiaal, ter referentie voor navraag bij bronorganisatie. In de transmurale setting bestaat dit nummer uit een monsternummer inclusief de identificatie van de uitgevende organisatie, om uniek te zijn buiten de grenzen van een organisatie.</t>
  </si>
  <si>
    <t>Monstervolgnummer</t>
  </si>
  <si>
    <t>EN: SpecimenNumberExtension</t>
  </si>
  <si>
    <t>INT</t>
  </si>
  <si>
    <t>NL-CM:13.1.20</t>
  </si>
  <si>
    <t>Het monstervolgnummer wordt toegepast, als het verzamelde materiaal uit de oorspronkelijke buis of container verdeeld wordt over meerdere buizen. In combinatie met het monsternummer biedt het volgnummer de mogelijkheid de buis of container uniek te identificeren.</t>
  </si>
  <si>
    <t>Containertype</t>
  </si>
  <si>
    <t>EN: ContainerType</t>
  </si>
  <si>
    <t>NL-CM:13.1.21</t>
  </si>
  <si>
    <t>Containertype beschrijft het omhulsel waarin het materiaal verzameld of verstuurd is. Voorbeelden zijn bloedbuizen, transportcontainer evt incl. kweekmedium.</t>
  </si>
  <si>
    <t>Monstermateriaal</t>
  </si>
  <si>
    <t>EN: SpecimenMaterial</t>
  </si>
  <si>
    <t>NL-CM:13.1.16</t>
  </si>
  <si>
    <t>Monstermateriaal beschrijft het afgenomen materiaal. Indien de LOINC testcode impliciet ook een materiaal beschrijft, mag dit element daar niet mee in strijd zijn. Indien gewenst kan dit gegeven wel een meer gedetailleerde beschrijving van het materiaal geven: LOINC codes bevatten de materialen alleen op hoofdniveau.
Dit is in lijn met de afspraken die gemaakt zijn in het IHE/Nictiz programma e-Lab.
Indien de test uitgevoerd is op een afgeleid materiaal (bijv. plasma) bevat dit element toch het afgenomen materiaal (in dit geval bloed). De LOINC code zal in het algemeen in dit geval wel naar plasma wijzen.</t>
  </si>
  <si>
    <t>SNOMED CT: 370133003 Specimen substance</t>
  </si>
  <si>
    <t>Microorganisme</t>
  </si>
  <si>
    <t>EN: Microorganism</t>
  </si>
  <si>
    <t>NL-CM:13.1.22</t>
  </si>
  <si>
    <t>Bij met name microbiologische bepalingen is soms geen sprake materiaal maar van een isolaat met daarop een bepaald micro-organisme. Dit concept biedt de mogelijkheid informatie omtrent dit micro-organisme vast te leggen.</t>
  </si>
  <si>
    <t>Verzamelvolume</t>
  </si>
  <si>
    <t>EN:CollectedVolume</t>
  </si>
  <si>
    <t>NL-CM:13.1.23</t>
  </si>
  <si>
    <t>Totale volume van het verzamelde materiaal. Indien het noodzakelijk is om de absolute  hoeveelheid van een bepaalde stof in het afgenomen of verzamelde materiaal te bepalen, dient het volume hiervan opgegeven te worden.</t>
  </si>
  <si>
    <t>Verzamelperiode</t>
  </si>
  <si>
    <t>EN: CollectionPeriod</t>
  </si>
  <si>
    <t>NL-CM:13.1.24</t>
  </si>
  <si>
    <t>Indien het materiaal niet op één tijdstip afgenomen is maar gedurende een bepaalde tijd verzameld is, kan deze periode in dit concept vastgelegd worden. Een voorbeeld is 24 uurs urine.</t>
  </si>
  <si>
    <t>AfnameDatumTijd</t>
  </si>
  <si>
    <t>EN: CollectionDateTime</t>
  </si>
  <si>
    <t>NL-CM:13.1.17</t>
  </si>
  <si>
    <t>Tijdstip van afname van het materiaal.</t>
  </si>
  <si>
    <t>SNOMED CT: 399445004 specimen collection date</t>
  </si>
  <si>
    <t>AannameDatumTijd</t>
  </si>
  <si>
    <t>EN: ReceivedDateTime</t>
  </si>
  <si>
    <t>NL-CM:13.1.25</t>
  </si>
  <si>
    <t>Datum en tijdstip waarop het materiaal bij het laboratorium of prikpunt is afgegeven. Het gaat hierbij om materiaal dat door de patiënt zelf verzameld is.</t>
  </si>
  <si>
    <t>Afnameprocedure</t>
  </si>
  <si>
    <t>EN: CollectionMethod</t>
  </si>
  <si>
    <t>NL-CM:13.1.18</t>
  </si>
  <si>
    <t>Indien relevant voor de uitslag kan de wijze van verkrijgen van het monster opgegeven worden.</t>
  </si>
  <si>
    <t>SNOMED CT: 118171006 Specimen procedure</t>
  </si>
  <si>
    <t>AnatomischeLocatie</t>
  </si>
  <si>
    <t>EN: AnatomicalLocation</t>
  </si>
  <si>
    <t>NL-CM:13.1.26</t>
  </si>
  <si>
    <t>Anatomische locatie waar het materiaal verzameld is, bijvoorbeeld elleboog.</t>
  </si>
  <si>
    <t>SNOMED CT: 118169006 Specimen source topography</t>
  </si>
  <si>
    <t>Lateraliteit</t>
  </si>
  <si>
    <t>EN: Laterality</t>
  </si>
  <si>
    <t>NL-CM:13.1.27</t>
  </si>
  <si>
    <t>Lateraliteit verbijzondert de anatomische locatie door, indien van toepassing, de zijdigheid vast te leggen, bijvoorbeeld links.</t>
  </si>
  <si>
    <t>SNOMED CT: 272741003 Laterality</t>
  </si>
  <si>
    <t>Morfologie</t>
  </si>
  <si>
    <t>EN: Morphology</t>
  </si>
  <si>
    <t>NL-CM:13.1.28</t>
  </si>
  <si>
    <t>Morfologie beschrijft morfologische afwijkingen van de normale vorm van de anatomische locatie waar het materiaal is afgenomen, bijvoorbeeld wond, zweer.</t>
  </si>
  <si>
    <t>SNOMED CT: 118168003 Specimen source morphology</t>
  </si>
  <si>
    <t>BronMonster</t>
  </si>
  <si>
    <t>EN: SpecimenSource</t>
  </si>
  <si>
    <t>NL-CM:13.1.29</t>
  </si>
  <si>
    <t>Indien het materiaal niet rechtstreeks bij de patiënt afgenomen, maar afkomstig is van een aan de patiënt gerelateerd voorwerp, zoals b.v een cathetertip, kan deze bron van het materiaal hier vastgelegd worden.</t>
  </si>
  <si>
    <t>SNOMED CT: 118170007 Specimen source identity</t>
  </si>
  <si>
    <t>NL-CM:13.1.19</t>
  </si>
  <si>
    <t>Opmerking over de afname, bijv. afname na (glucose)stimulus of medicijn inname.</t>
  </si>
  <si>
    <t>LaboratoriumTest</t>
  </si>
  <si>
    <t>EN: LaboratoryTest</t>
  </si>
  <si>
    <t>NL-CM:13.1.3</t>
  </si>
  <si>
    <t>Container van het concept LaboratoriumTest. Deze container bevat alle gegevenselementen van het concept LaboratoriumTest.</t>
  </si>
  <si>
    <t>TestCode</t>
  </si>
  <si>
    <t>EN: TestCode</t>
  </si>
  <si>
    <t>NL-CM:13.1.8</t>
  </si>
  <si>
    <t>De naam en code van de uitgevoerde test.</t>
  </si>
  <si>
    <t>Testmethode</t>
  </si>
  <si>
    <t>EN: TestMethod</t>
  </si>
  <si>
    <t>NL-CM:13.1.9</t>
  </si>
  <si>
    <t>De gebruikte testmethode voor het verkrijgen van de uitslag.</t>
  </si>
  <si>
    <t>SNOMED CT: 246501002 Technique (attribute)</t>
  </si>
  <si>
    <t>Indien de LOINC test code (in 'TestNaam') al een methode bevat, mag de waarde van 'TestMethode' daar niet mee in strijd zijn. 'TestMethode' bevat dan dezelfde methode of een verbijzondering daarvan.</t>
  </si>
  <si>
    <t>TestDatumTijd</t>
  </si>
  <si>
    <t>EN: TestDateTime</t>
  </si>
  <si>
    <t>NL-CM:13.1.13</t>
  </si>
  <si>
    <t>De datum en eventueel tijdstip waarop de test uitgevoerd is.</t>
  </si>
  <si>
    <t>TestUitslag</t>
  </si>
  <si>
    <t>EN: TestResult</t>
  </si>
  <si>
    <t>ANY</t>
  </si>
  <si>
    <t>NL-CM:13.1.10</t>
  </si>
  <si>
    <t>De uitslag van de test. Afhankelijk van de soort test bestaat de uitslag uit een waarde met eenheid of uit een gecodeerde waarde (ordinaal of nominaal).</t>
  </si>
  <si>
    <t>TestUitslagStatus</t>
  </si>
  <si>
    <t>EN: TestResultStatus</t>
  </si>
  <si>
    <t>NL-CM:13.1.31</t>
  </si>
  <si>
    <t>De status van de uitslag van de (deel)test. Indien het onderzoek uit meerdere testen bestaat, geeft het de status van het onderzoek de overall status weer.</t>
  </si>
  <si>
    <t>ReferentieBovengrens</t>
  </si>
  <si>
    <t>EN: ReferenceRangeUpperLimit</t>
  </si>
  <si>
    <t>NL-CM:13.1.11</t>
  </si>
  <si>
    <t>De voor de patiënt geldende referentie bovenwaarde van de met de test gemeten waarde.</t>
  </si>
  <si>
    <t>Indien de uitslag referentiewaarden heeft, dan moet het datatype van de uitslag en de referentiewaarden gelijk zijn.,Indien de uitslag datatype PQ heeft en er referentiewaarden zijn, dan moet de eenheid van de uitslag- en de referentiewaarde gelijk zijn</t>
  </si>
  <si>
    <t>ReferentieOndergrens</t>
  </si>
  <si>
    <t>EN: ReferenceRangeLowerLimit</t>
  </si>
  <si>
    <t>NL-CM:13.1.12</t>
  </si>
  <si>
    <t>De voor de patiënt geldende referentie onderwaarde van de met de test gemeten waarde.</t>
  </si>
  <si>
    <t>InterpretatieMethode</t>
  </si>
  <si>
    <t>EN: InterpretationMethod</t>
  </si>
  <si>
    <t>NL-CM:13.1.30</t>
  </si>
  <si>
    <t>De methode die gebruikt is om interpretatievlaggen te bepalen. Een voorbeeld hiervan is EUCAST, voor het bepalen van afbreekpunten bij microbiologische gevoeligheidsbepalingen</t>
  </si>
  <si>
    <t>InterpretatieVlaggen</t>
  </si>
  <si>
    <t>EN: ResultFlags</t>
  </si>
  <si>
    <t>NL-CM:13.1.14</t>
  </si>
  <si>
    <t>Attentie codes die aangeven of de uitslag boven of onder bepaalde referentiewaarden ligt of anderzinds een .interpretatie van de uitslag geven (Resistent)</t>
  </si>
  <si>
    <t>SNOMED CT: 363713009 Has interpretation</t>
  </si>
  <si>
    <t>UitslagInterpretatie</t>
  </si>
  <si>
    <t>EN: ResultInterpretation</t>
  </si>
  <si>
    <t>NL-CM:13.1.32</t>
  </si>
  <si>
    <t>Opmerkingen van de bepaler met betrekking tot duiding van de resultaten</t>
  </si>
  <si>
    <t>SNOMED CT: 441742003 Evaluation finding</t>
  </si>
  <si>
    <t>Onderzoek</t>
  </si>
  <si>
    <t>EN: PanelOrBattery</t>
  </si>
  <si>
    <t>NL-CM:13.1.4</t>
  </si>
  <si>
    <t>Bij een laboratoriumbepaling die uit meerdere subbepalingen bestaat en vaak als één geheel wordt aangevraagd bevat dit concept  de naam van de samengestelde aanvraag (vaak aangeduid als panel, battery of cluster). Voorbeelden zijn: bloedgassen en EBV serologie.</t>
  </si>
  <si>
    <t>ResultaatStatus</t>
  </si>
  <si>
    <t>EN: ResultStatus</t>
  </si>
  <si>
    <t>NL-CM:13.1.6</t>
  </si>
  <si>
    <t>De status van de laboratoriumuitslag. Indien het onderzoek uit meerdere testen bestaat, geeft het de status van het gehele onderzoek aan. Indien tevens de status per deelonderzoek gebruikt wordt, moet deze status daarmee in overeenstemming zijn.</t>
  </si>
  <si>
    <t>NL-CM:13.1.5</t>
  </si>
  <si>
    <t>Opmerkingen, zoals bv. tekstuele interpretatie of advies bij de uitslag.</t>
  </si>
  <si>
    <t>ResultaatType</t>
  </si>
  <si>
    <t>EN: ResultType</t>
  </si>
  <si>
    <t>NL-CM:13.1.7</t>
  </si>
  <si>
    <t>Het resultaattype definieert de laboratoriumspecialiteit waaronder de bepaling valt.</t>
  </si>
  <si>
    <t>GerelateerdeUitslag::LaboratoriumUitslag</t>
  </si>
  <si>
    <t>EN: RelatedResult::LaboratoryTestResult</t>
  </si>
  <si>
    <t>NL-CM:13.1.33</t>
  </si>
  <si>
    <t>Verwijzing naar een gerelateerd onderzoek, bij voorbeeld bij gepaarde onderzoeken of sequentiele onderzoeken als gramkleuring en microbiologische kweken</t>
  </si>
  <si>
    <t>Dit is een verwijzing naar het rootconcept van de bouwsteen LaboratoriumUitslag.</t>
  </si>
  <si>
    <t>Aanvrager::Zorgverlener</t>
  </si>
  <si>
    <t>EN: Requester::HealthProfessional</t>
  </si>
  <si>
    <t>NL-CM:13.1.34</t>
  </si>
  <si>
    <t>Lichaamsgewicht</t>
  </si>
  <si>
    <t>Lichaamsgewicht-v3.1(2017NL)</t>
  </si>
  <si>
    <t>EN: BodyWeight</t>
  </si>
  <si>
    <t>NL-CM:12.1.1</t>
  </si>
  <si>
    <t>Rootconcept van de bouwsteen Lichaamsgewicht. Dit rootconcept bevat alle gegevenselementen van de bouwsteen Lichaamsgewicht.</t>
  </si>
  <si>
    <t>GewichtWaarde</t>
  </si>
  <si>
    <t>EN: WeightValue</t>
  </si>
  <si>
    <t>NL-CM:12.1.2</t>
  </si>
  <si>
    <t>Het lichaamsgewicht van de patiënt. Het gewicht wordt uitgedrukt in kilogram (kg). Bij pasgeborenen onder 3 kg wordt het gewicht veelal in grammen uitgedrukt.
Dit concept kan ook gebruikt worden om een geschat lichaamsgewicht vast te leggen als het niet mogelijk is om het exacte lichaamsgewicht te meten - bijvoorbeeld, het wegen van een tegenwerkend kind, of een schatting van het gewicht van een ongeboren kind.</t>
  </si>
  <si>
    <t>LOINC: 29463-7 Body weight</t>
  </si>
  <si>
    <t>NL-CM:12.1.3</t>
  </si>
  <si>
    <t>Opmerking over de gewichtsmeting, zoals eventuele problemen of factoren die van invloed kunnen zijn op de meting van het lichaamsgewicht; bijvoorbeeld timing in de menstruele cyclus, timing van de recente stoelgang of het noteren van een amputatie.</t>
  </si>
  <si>
    <t>GewichtDatumTijd</t>
  </si>
  <si>
    <t>EN: WeightDateTime</t>
  </si>
  <si>
    <t>NL-CM:12.1.4</t>
  </si>
  <si>
    <t>Datum en (eventueel) tijd dat het gewicht gemeten of geschat werd.</t>
  </si>
  <si>
    <t>Kleding</t>
  </si>
  <si>
    <t>EN: Clothing</t>
  </si>
  <si>
    <t>NL-CM:12.1.5</t>
  </si>
  <si>
    <t>De kleding die de patiënt aan had tijdens de meting.</t>
  </si>
  <si>
    <t>Lichaamslengte</t>
  </si>
  <si>
    <t>Lichaamslengte-v3.1(2017NL)</t>
  </si>
  <si>
    <t>EN: BodyHeight</t>
  </si>
  <si>
    <t>NL-CM:12.2.1</t>
  </si>
  <si>
    <t>Rootconcept van de bouwsteen Lichaamslengte. Dit rootconcept bevat alle gegevenselementen van de bouwsteen Lichaamslengte.</t>
  </si>
  <si>
    <t>LengteWaarde</t>
  </si>
  <si>
    <t>EN: HeightValue</t>
  </si>
  <si>
    <t>NL-CM:12.2.2</t>
  </si>
  <si>
    <t>Het element bevat de waarde van de gemeten lichaamslengte. 
De lichaamslengte is de lengte van het menselijk lichaam van hielbodem tot kruin, in het algemeen gemeten in staande houding. Bij zeer kleine kinderen of patiënten die niet kunnen staan wordt de lichaamslengte in gestrekte liggende houding gemeten.</t>
  </si>
  <si>
    <t>LOINC: 8302-2 Body height</t>
  </si>
  <si>
    <t>LengteDatumTijd</t>
  </si>
  <si>
    <t>EN: HeightDateTime</t>
  </si>
  <si>
    <t>NL-CM:12.2.4</t>
  </si>
  <si>
    <t>Datum en (eventueel) tijd van de waarneming van de lichaamslengte.</t>
  </si>
  <si>
    <t>NL-CM:12.2.3</t>
  </si>
  <si>
    <t>Toelichting op de meting van de lichaamslengte.</t>
  </si>
  <si>
    <t>Positie</t>
  </si>
  <si>
    <t>NL-CM:12.2.5</t>
  </si>
  <si>
    <t>De positie tijdens de meting van de gemeten persoon.</t>
  </si>
  <si>
    <t>Medicatieafspraak</t>
  </si>
  <si>
    <t>Medicatieafspraak-v1.0.1(2017NL)</t>
  </si>
  <si>
    <t>EN: MedicationAgreement</t>
  </si>
  <si>
    <t>NL-CM:9.6.9580</t>
  </si>
  <si>
    <t>Rootconcept van de bouwsteen Medicatieafspraak. Dit rootconcept bevat alle gegevenselementen van de bouwsteen Medicatieafspraak.</t>
  </si>
  <si>
    <t>Voorschrijver::Zorgverlener</t>
  </si>
  <si>
    <t>EN: Prescriber::HealthProfessional</t>
  </si>
  <si>
    <t>NL-CM:9.6.1030</t>
  </si>
  <si>
    <t>De zorgverlener die de medicatieafspraak met de patiënt heeft vastgelegd.</t>
  </si>
  <si>
    <t>RedenVanVoorschrijven::Probleem</t>
  </si>
  <si>
    <t>EN: PrescriptionReason::Problem</t>
  </si>
  <si>
    <t>NL-CM:9.6.23133</t>
  </si>
  <si>
    <t>De medische reden voor het voorschrijven of gebruik van de medicatie. Hiermee kan een medische indicatie worden doorgegeven die de directe aanleiding vormde voor het voorschrijven of het gebruik van de betreffende medicatie.
Het kan gaan om ieder type probleem (of conditie) van de patiënt, vrijwel steeds een diagnose, een klacht of een symptoom.
NB: Het bestand BST401T van de G-standaard bevat een "bijzonder kenmerk" om aan te geven dat het "uitwisselen van de reden van voorschrijven noodzakelijk is".</t>
  </si>
  <si>
    <t>Dit is een verwijzing naar het rootconcept in de bouwsteen Probleem.</t>
  </si>
  <si>
    <t>NL-CM:9.6.23028</t>
  </si>
  <si>
    <t>Voor deze afspraak relevant gewicht waarop de dosering gebaseerd is.</t>
  </si>
  <si>
    <t>Dit is een verwijzing naar het rootconcept van de bouwsteen Lichaamsgewicht.</t>
  </si>
  <si>
    <t>NL-CM:9.6.23023</t>
  </si>
  <si>
    <t>Voor deze afspraak relevante lengte, waarop de dosering gebaseerd is.</t>
  </si>
  <si>
    <t>Dit is een verwijzing naar het rootconcept van de bouwsteen Lichaamslengte.</t>
  </si>
  <si>
    <t>Afgesprokengeneesmiddel::FarmaceutischProduct</t>
  </si>
  <si>
    <t>EN: AgreedMedicine::FarmaceuticalProduct</t>
  </si>
  <si>
    <t>NL-CM:9.6.19925</t>
  </si>
  <si>
    <t>Het afgesproken te gebruiken geneesmiddel.</t>
  </si>
  <si>
    <t>Dit is een verwijzing naar het rootconcept van de sub-bouwsteen Product.</t>
  </si>
  <si>
    <t>Gebruiksinstructie</t>
  </si>
  <si>
    <t>EN: InstructionsForUse</t>
  </si>
  <si>
    <t>NL-CM:9.6.23240</t>
  </si>
  <si>
    <t>Aanwijzingen voor het gebruik van de medicatie, bijvoorbeeld dosering en toedieningsweg.</t>
  </si>
  <si>
    <t>Dit is een verwijzing naar het rootconcept van de sub-bouwsteen Gebruiksinstructie.</t>
  </si>
  <si>
    <t>MedicatieafspraakDatumTijd</t>
  </si>
  <si>
    <t>EN: MedicationAgreementDateTime</t>
  </si>
  <si>
    <t>NL-CM:9.6.19757</t>
  </si>
  <si>
    <t>Het tijdstip waarop de afspraak gemaakt is.
Afspraakdatum + tijd verplicht meegeven (er moet volgordelijkheid van de afspraken kunnen worden afgeleid bij meerdere medicatieafspraken op één dag)</t>
  </si>
  <si>
    <t>Gebruiksperiode::TijdsInterval</t>
  </si>
  <si>
    <t>EN: PeriodOfUse</t>
  </si>
  <si>
    <t>NL-CM:9.6.19936</t>
  </si>
  <si>
    <t>Dit is een verwijzing naar het rootconcept in de sub-bouwsteen TijdsInterval.</t>
  </si>
  <si>
    <t>GeannuleerdIndicator</t>
  </si>
  <si>
    <t>EN: CanceledIndicator</t>
  </si>
  <si>
    <t>NL-CM:9.6.23033</t>
  </si>
  <si>
    <t>In geval van foutcorrectie van de medicatieafspraak wordt bij de foutieve afspraak deze indicator aangezet.</t>
  </si>
  <si>
    <t>MedicatieafspraakStopType</t>
  </si>
  <si>
    <t>EN: MedicationAgreementStopType</t>
  </si>
  <si>
    <t>NL-CM:9.6.19954</t>
  </si>
  <si>
    <t>Stop type, de manier waarop gestopt wordt met deze medicatie (tijdelijk of definitief).</t>
  </si>
  <si>
    <t>RedenMedicatieafspraak</t>
  </si>
  <si>
    <t>EN: ReasonMedicationAgreement</t>
  </si>
  <si>
    <t>NL-CM:9.6.22094</t>
  </si>
  <si>
    <t>Reden voor het maken van deze medicatieafspraak. Dit kan de reden zijn om de medicatie te starten, te wijzigen of te stoppen.</t>
  </si>
  <si>
    <t>MedicatieafspraakAanvullendeInformatie</t>
  </si>
  <si>
    <t>EN: MedicationAgreementAdditionalInformation</t>
  </si>
  <si>
    <t>NL-CM:9.6.23283</t>
  </si>
  <si>
    <t>Aanvullende informatie bevat een lijst van bijzonderheden over de gemaakte afspraak die van belang zijn voor de medicatiebewaking en invulling door de apotheker. Hiermee kan bijvoorbeeld worden aangegeven dat er bewust is afgeweken van wat gebruikelijk is of dat de afspraak op een bepaalde manier moet worden ingevuld. 
Zie ook de sectie Instructions voor meer informatie over het gebruik.</t>
  </si>
  <si>
    <t>NL-CM:9.6.22273</t>
  </si>
  <si>
    <t>Opmerkingen met betrekking tot de medicatieafspraak. Bijvoorbeeld: in overleg met de specialist.</t>
  </si>
  <si>
    <t>MedicatieGebruik</t>
  </si>
  <si>
    <t>MedicatieGebruik2-v1.0.1(2017NL)</t>
  </si>
  <si>
    <t>EN: MedicationUse</t>
  </si>
  <si>
    <t>NL-CM:9.11.21338</t>
  </si>
  <si>
    <t>Rootconcept van de bouwsteen MedicatieGebruik. Dit rootconcept bevat alle gegevenselementen van de bouwsteen MedicatieGebruik.</t>
  </si>
  <si>
    <t>NL-CM:9.11.23290</t>
  </si>
  <si>
    <t>De zorgverlener die de medicatieafspraak met de patiënt heeft vastgesteld.</t>
  </si>
  <si>
    <t>Gebruiksproduct::FarmaceutischProduct</t>
  </si>
  <si>
    <t>EN: ProductUsed::FarmaceuticalProduct</t>
  </si>
  <si>
    <t>NL-CM:9.11.21339</t>
  </si>
  <si>
    <t>Het gebruikte middel. Dit is vrijwel steeds een geneesmiddel. Voedingsmiddelen, bloedproducten, hulp- en verbandmiddelen vallen strikt genomen niet onder de categorie geneesmiddelen, maar kunnen ook worden worden vastgelegd.
In principe betreft dit het voorgeschreven product, maar het daadwerkelijk gebruikte product kan afwijken van het voorgeschreven product.</t>
  </si>
  <si>
    <t>Dit is een verwijzing naar het rootconcept van de sub-bouwsteeen Product.</t>
  </si>
  <si>
    <t>NL-CM:9.11.22504</t>
  </si>
  <si>
    <t>Aanwijzingen voor het gebruik van de medicatie, bijvoorbeeld dosering en toedieningsweg. Bij medicatiegebruik is dit het gebruikspatroon dat de patiënt heeft gevolgd of met zichzelf heeft afgesproken.</t>
  </si>
  <si>
    <t>MedicatieGebruikDatumTijd</t>
  </si>
  <si>
    <t>EN: MedicationUseDateTime</t>
  </si>
  <si>
    <t>NL-CM:9.11.22398</t>
  </si>
  <si>
    <t>Datum waarop het onderliggende gebruik is vastgelegd.</t>
  </si>
  <si>
    <t>NL-CM:9.11.22663</t>
  </si>
  <si>
    <t>Dit is een verwijzing naar het rootconcept in de subbouwsteen TijdsInterval.</t>
  </si>
  <si>
    <t>VolgensAfspraakIndicator</t>
  </si>
  <si>
    <t>EN: AsAgreedIndicator</t>
  </si>
  <si>
    <t>NL-CM:9.11.22492</t>
  </si>
  <si>
    <t>Wordt het geneesmiddel gebruikt zoals afgesproken in de medicatieafspraak?</t>
  </si>
  <si>
    <t>GebruikIndicator</t>
  </si>
  <si>
    <t>EN: UseIndicator</t>
  </si>
  <si>
    <t>NL-CM:9.11.22399</t>
  </si>
  <si>
    <t>Wordt dit geneesmiddel gebruikt of niet.</t>
  </si>
  <si>
    <t>RedenGebruik</t>
  </si>
  <si>
    <t>EN: ReasonForUse</t>
  </si>
  <si>
    <t>NL-CM:9.11.22491</t>
  </si>
  <si>
    <t>De reden om medicatie te gebruiken, m.n. bij zelfzorgmiddelen die de patiënt zelf aanschaft.</t>
  </si>
  <si>
    <t>MedicatieGebruikStopType</t>
  </si>
  <si>
    <t>EN: MedicationUseStopType</t>
  </si>
  <si>
    <t>NL-CM:9.11.23132</t>
  </si>
  <si>
    <t>RedenWijzigenOfStoppenGebruik</t>
  </si>
  <si>
    <t>EN: ReasonForChangeOrDiscontinuationOfUse</t>
  </si>
  <si>
    <t>NL-CM:9.11.22493</t>
  </si>
  <si>
    <t>Reden van wijzigen of stoppen met medicatiegebruik</t>
  </si>
  <si>
    <t>NL-CM:9.11.21624</t>
  </si>
  <si>
    <t>Opmerkingen met betrekking tot het medicatie gebruik.</t>
  </si>
  <si>
    <t>MedischHulpmiddel</t>
  </si>
  <si>
    <t>MedischHulpmiddel-v3.1(2017NL)</t>
  </si>
  <si>
    <t>EN: MedicalDevice</t>
  </si>
  <si>
    <t>NL-CM:10.1.1</t>
  </si>
  <si>
    <t>Rootconcept van de bouwsteen MedischHulpmiddel. Dit rootconcept bevat alle gegevenselementen van de bouwsteen MedischHulpmiddel.</t>
  </si>
  <si>
    <t>SNOMED CT: 49062001 Device (physical object)</t>
  </si>
  <si>
    <t>Product</t>
  </si>
  <si>
    <t>EN: Product</t>
  </si>
  <si>
    <t>NL-CM:10.1.2</t>
  </si>
  <si>
    <t>Het medische hulpmiddel dat wordt gebruikt (inwendig of uitwendig).</t>
  </si>
  <si>
    <t>SNOMED CT: 405815000 Procedure device</t>
  </si>
  <si>
    <t>ProductID</t>
  </si>
  <si>
    <t>EN: ProductID</t>
  </si>
  <si>
    <t>NL-CM:10.1.4</t>
  </si>
  <si>
    <t>Unieke identificatie van het product, bijvoorbeeld het serienummer.
Veel gebruikte coderingen zijn HIBC en GTIN.
Indien de wet verplicht stelt dat deze geregistreerd wordt op basis van een UDI (Unique Device Identifier), dient de unieke identificatie opgebouwd te zijn uit een UDI-DI (Device Identifier) en een UDI-PI (Production Identifier(s)). Voor meer informatie, zie: http://www.gs1.org/healthcare/udi .
De UDI-DI dient m.b.t. GS1 GTIN (01) coderingen worden vastgelegd, waarmee o.a. een firma aan het producttype wordt gekoppeld. De UDI-PI dient te bestaan uit de volgende application identifier (AI); vervaldatum (17) en serienummer (21) en/of batch- of lotnummer (10).</t>
  </si>
  <si>
    <t>nl.zorg.MedischHulpmiddel-v3.1(2017NL)</t>
  </si>
  <si>
    <t>ProductType</t>
  </si>
  <si>
    <t>EN: ProductType</t>
  </si>
  <si>
    <t>NL-CM:10.1.3</t>
  </si>
  <si>
    <t>De code van het type product.</t>
  </si>
  <si>
    <t>ProductOmschrijving</t>
  </si>
  <si>
    <t>EN: ProductDescription</t>
  </si>
  <si>
    <t>NL-CM:10.1.13</t>
  </si>
  <si>
    <t>Tekstuele beschrijving van het product.</t>
  </si>
  <si>
    <t>NL-CM:10.1.11</t>
  </si>
  <si>
    <t>De startdatum van eerste toepassing of implantatie het medische hulpmiddel. Een vage datum, bijv. alleen een jaartal, is toegestaan.</t>
  </si>
  <si>
    <t>Indicatie::Probleem</t>
  </si>
  <si>
    <t>EN: Indication::Problem</t>
  </si>
  <si>
    <t>NL-CM:10.1.7</t>
  </si>
  <si>
    <t>De medische reden voor het gebruik van het medisch hulpmiddel.</t>
  </si>
  <si>
    <t>NL-CM:10.1.10</t>
  </si>
  <si>
    <t>Opmerking bij de toepassing of informatie over het gebruikte hulpmiddel.</t>
  </si>
  <si>
    <t>NL-CM:10.1.6</t>
  </si>
  <si>
    <t>Anatomische locatie van het gebruikte hulpmiddel bij de patiënt.</t>
  </si>
  <si>
    <t>SNOMED CT: 363698007  Finding site</t>
  </si>
  <si>
    <t>NL-CM:10.1.12</t>
  </si>
  <si>
    <t>NL-CM:10.1.8</t>
  </si>
  <si>
    <t>De zorgaanbieder waar het gebruik van het hulpmiddel geïnitieerd werd of waar het hulpmiddel gïmplanteerd werd.</t>
  </si>
  <si>
    <t>Dit is een verwijzing naar het rootconcept van de bouwsteen Zorgaanbieder</t>
  </si>
  <si>
    <t>Zorgverlener</t>
  </si>
  <si>
    <t>EN: HealthProfessional</t>
  </si>
  <si>
    <t>NL-CM:10.1.9</t>
  </si>
  <si>
    <t>De zorgverlener betrokken bij de indicatiestelling voor het gebruik of de implantatie van het hulpmiddel.</t>
  </si>
  <si>
    <t>Dit is een verwijzing naar het rootconcept van de bouwsteen Zorgverlener</t>
  </si>
  <si>
    <t>GeplandeZorgActiviteit</t>
  </si>
  <si>
    <t>OverdrachtGeplandeZorgActiviteit-v3.1(2017NL)</t>
  </si>
  <si>
    <t>EN: PlannedCareActivity</t>
  </si>
  <si>
    <t>NL-CM:16.1.1</t>
  </si>
  <si>
    <t>Rootconcept van de bouwsteen OverdrachtGeplandeZorgActiviteit. Dit rootconcept bevat alle gegevenselementen van de bouwsteen OverdrachtGeplandeZorgActiviteit.</t>
  </si>
  <si>
    <t>OrderStatus</t>
  </si>
  <si>
    <t>EN: OrderStatus</t>
  </si>
  <si>
    <t>NL-CM:16.1.9</t>
  </si>
  <si>
    <t>Status van de order.</t>
  </si>
  <si>
    <t>NL-CM:16.1.10</t>
  </si>
  <si>
    <t>Geplande of gewenste datum van uitvoering. Bij Clinical reminders kan hiermee aangegeven worden vanaf wanneer de handeling uitgevoerd mag worden. Een vage datum (bv. alleen maand en jaar is toegestaan).</t>
  </si>
  <si>
    <t>NL-CM:16.1.11</t>
  </si>
  <si>
    <t>Eventueel kan de geplande einddatum van de handeling vastgelegd worden. Tevens kan afhankelijk van het type handeling hiermee aangegeven worden voor wanneer deze uitgevoerd moet worden.</t>
  </si>
  <si>
    <t>OrderType</t>
  </si>
  <si>
    <t>EN: OrderType</t>
  </si>
  <si>
    <t>NL-CM:16.1.8</t>
  </si>
  <si>
    <t>Type order, verzoek of reminder.</t>
  </si>
  <si>
    <t>OrderOverige</t>
  </si>
  <si>
    <t>EN: OrderOther</t>
  </si>
  <si>
    <t>NL-CM:16.1.2</t>
  </si>
  <si>
    <t>Orders die niet passen binnen één van de andere concepten, kunnen in vrije tekst beschreven worden.</t>
  </si>
  <si>
    <t>MedicatieToediening2</t>
  </si>
  <si>
    <t>EN: MedicationAdministration</t>
  </si>
  <si>
    <t>NL-CM:16.1.3</t>
  </si>
  <si>
    <t>De medicatie waarvan het toediening in de toekomst nog moet worden afgesproken. Doorgaans zullen deze gegevens in de sectie Medicatie zijn opgenomen.</t>
  </si>
  <si>
    <t>Dit is een verwijzing naar het rootconcept van de bouwsteen MedicatieToediening2.</t>
  </si>
  <si>
    <t>NL-CM:16.1.4</t>
  </si>
  <si>
    <t>Een voorgenomen verrichting inclusief o.a. indicatie en locatie.</t>
  </si>
  <si>
    <t>VerpleegkundigeInterventie</t>
  </si>
  <si>
    <t>EN: NursingProcedure</t>
  </si>
  <si>
    <t>NL-CM:16.1.12</t>
  </si>
  <si>
    <t>Een voorgenomen verpleegkundige interventie.</t>
  </si>
  <si>
    <t>Dit is een verwijzing naar het rootconcept van de bouwsteen VerpleegkundigeInterventie.</t>
  </si>
  <si>
    <t>Vaccinatie</t>
  </si>
  <si>
    <t>EN: Vaccination</t>
  </si>
  <si>
    <t>NL-CM:16.1.5</t>
  </si>
  <si>
    <t>Een voorgenomen vaccinatie.</t>
  </si>
  <si>
    <t>Dit is een verwijzing naar het rootconcept van de bouwsteen Vaccinatie.</t>
  </si>
  <si>
    <t>Afspraak::Contact</t>
  </si>
  <si>
    <t>EN: Appointment::Contact</t>
  </si>
  <si>
    <t>NL-CM:16.1.6</t>
  </si>
  <si>
    <t>Een afspraak inclusief o.a. reden van contact en locatie.</t>
  </si>
  <si>
    <t>Dit is een verwijzing naar het rootconcept van de bouwsteen Contact.</t>
  </si>
  <si>
    <t>NL-CM:16.1.7</t>
  </si>
  <si>
    <t>Een gewenst medisch hulpmiddel.</t>
  </si>
  <si>
    <t>Patient-v3.1(2017NL)</t>
  </si>
  <si>
    <t>EN: Patient</t>
  </si>
  <si>
    <t>NL-CM:0.1.1</t>
  </si>
  <si>
    <t>Rootconcept van de bouwsteen Patiënt. Dit rootconcept bevat alle gegevenselementen van de bouwsteen Patiënt.</t>
  </si>
  <si>
    <t>NL-CM:0.1.6</t>
  </si>
  <si>
    <t>Dit is een verwijzing naar het rootconcept in de sub-bouwsteen Naamgegevens.</t>
  </si>
  <si>
    <t>NL-CM:0.1.4</t>
  </si>
  <si>
    <t>Dit is een verwijzing naar het rootconcept in de sub-bouwsteen Adresgegevens.</t>
  </si>
  <si>
    <t>NL-CM:0.1.5</t>
  </si>
  <si>
    <t>Dit is een verwijzing naar het rootconcept in de sub-bouwsteen Contactgegevens.</t>
  </si>
  <si>
    <t>Identificatienummer</t>
  </si>
  <si>
    <t>EN: PatientIdentificationNumber</t>
  </si>
  <si>
    <t>NL-CM:0.1.7</t>
  </si>
  <si>
    <t>Identificatienummer van de patiënt. Bij overdrachtsituaties dient het gebruik van het burgerservicenummer (BSN) in overeenstemming te zijn met de 'Wet gebruik burgerservicenummer in de zorg (Wbsn-z)'. In andere situaties kunnen andere nummersystemen gebruikt worden, zoals bijv. interne ziekenhuis patiëntnummers.</t>
  </si>
  <si>
    <t>Geboortedatum</t>
  </si>
  <si>
    <t>EN: DateOfBirth</t>
  </si>
  <si>
    <t>NL-CM:0.1.10</t>
  </si>
  <si>
    <t>Geboortedatum van de patiënt. Bij een patiënt is de geboortedatum verplicht. Vage datum (bv. alleen jaar) is toegestaan.</t>
  </si>
  <si>
    <t>LOINC: 21112-8 Birth date</t>
  </si>
  <si>
    <t>Geslacht</t>
  </si>
  <si>
    <t>EN: Gender</t>
  </si>
  <si>
    <t>NL-CM:0.1.9</t>
  </si>
  <si>
    <t>Administratief geslacht van de patiënt.</t>
  </si>
  <si>
    <t>LOINC: 46098-0 Sex</t>
  </si>
  <si>
    <t>MeerlingIndicator</t>
  </si>
  <si>
    <t>EN: MultipleBirthIndicator</t>
  </si>
  <si>
    <t>NL-CM:0.1.31</t>
  </si>
  <si>
    <t>Indicator die aangeeft of de patiënt één van een meerling is.</t>
  </si>
  <si>
    <t>OverlijdensIndicator</t>
  </si>
  <si>
    <t>EN: DeathIndicator</t>
  </si>
  <si>
    <t>NL-CM:0.1.32</t>
  </si>
  <si>
    <t>Indicator die aangeeft of de patiënt overleden is.</t>
  </si>
  <si>
    <t>SNOMED CT: 397709008 Patient died (finding)</t>
  </si>
  <si>
    <t>DatumOverlijden</t>
  </si>
  <si>
    <t>EN: DateOfDeath</t>
  </si>
  <si>
    <t>NL-CM:0.1.33</t>
  </si>
  <si>
    <t>De datum waarop de patiënt overleden is. Een vage datum, b.v. alleen jaartal is toegestaan.</t>
  </si>
  <si>
    <t>LOINC: 81954-0 Date of death [Date]</t>
  </si>
  <si>
    <t>Probleem-v4.1(2017NL)</t>
  </si>
  <si>
    <t>NL-CM:5.1.1</t>
  </si>
  <si>
    <t>Rootconcept van de bouwsteen Probleem.
Een probleem beschrijft een toestand met betrekking tot de gezondheid en/of het welzijn van een individu. Deze toestand kan zijn benoemd door de patiënt zelf (een klacht), of door zijn of haar zorgverlener (onder andere een diagnose).</t>
  </si>
  <si>
    <t>ProbleemAnatomischeLocatie</t>
  </si>
  <si>
    <t>EN: ProblemAnatomicalLocation</t>
  </si>
  <si>
    <t>NL-CM:5.1.11</t>
  </si>
  <si>
    <t>Anatomische locatie die de focus is van de verrichting.</t>
  </si>
  <si>
    <t>SNOMED CT: 405813007 Procedure site - Direct</t>
  </si>
  <si>
    <t>ProbleemLateraliteit</t>
  </si>
  <si>
    <t>EN: ProblemLaterality</t>
  </si>
  <si>
    <t>NL-CM:5.1.12</t>
  </si>
  <si>
    <t>ProbleemType</t>
  </si>
  <si>
    <t>EN: ProblemType</t>
  </si>
  <si>
    <t>NL-CM:5.1.8</t>
  </si>
  <si>
    <t>Het type probleem, zie de conceptbeschrijving.</t>
  </si>
  <si>
    <t>ProbleemNaam</t>
  </si>
  <si>
    <t>EN: ProblemName</t>
  </si>
  <si>
    <t>NL-CM:5.1.3</t>
  </si>
  <si>
    <t>De probleemnaam definieert het probleem. Afhankelijk van de setting kunnen verschillende codestelsels worden gebruikt. De ProbleemNaamCodelijst geeft een overzicht van de mogelijke codestelsels</t>
  </si>
  <si>
    <t>ProbleemBeginDatum</t>
  </si>
  <si>
    <t>EN: ProblemStartDate</t>
  </si>
  <si>
    <t>NL-CM:5.1.6</t>
  </si>
  <si>
    <t>Begin van de aandoening, waarop het probleem betrekking heeft. Vooral bij klachten waarbij het langer duurt voordat de uiteindelijke diagnose gesteld wordt is het belangrijk niet alleen de diagnosedatum te weten, maar ook sinds wanneer de aandoening al bestaat. Een vage datum, bijv. alleen een jaartal of een maand en een jaartal, is toegestaan.</t>
  </si>
  <si>
    <t>ProbleemEindDatum</t>
  </si>
  <si>
    <t>EN: ProblemEndDate</t>
  </si>
  <si>
    <t>NL-CM:5.1.9</t>
  </si>
  <si>
    <t>Datum waarop de aandoening, waarop het probleem betrekking heeft, als niet meer aanwezig wordt beschouwd. Deze datum hoeft niet gelijk te zijn aan de datum waarop  de statuswijzinging van het  probleem is vastgelegd. Een vage datum, bijv. alleen een jaartal of een maand en een jaartal, is toegestaan.</t>
  </si>
  <si>
    <t>ProbleemStatus</t>
  </si>
  <si>
    <t>EN: ProblemStatus</t>
  </si>
  <si>
    <t>NL-CM:5.1.4</t>
  </si>
  <si>
    <t>De probleemstatus beschrijft de toestand van het probleem:
&lt;ol&gt;
  &lt;li&gt;Actuele problemen zijn problemen waar de patiënt symptomen van ondervindt of waar bewijsmateriaal voor is.&lt;/li&gt;
  &lt;li&gt;Problemen met status 'Niet actueel' verwijzen naar problemen waar de patiënt geen last meer van heeft of waar geen aanwijzingen meer voor zijn.</t>
  </si>
  <si>
    <t>VerificatieStatus</t>
  </si>
  <si>
    <t>EN: VerificationStatus</t>
  </si>
  <si>
    <t>NL-CM:5.1.10</t>
  </si>
  <si>
    <t>Klinische status van het probleem of de diagnose.</t>
  </si>
  <si>
    <t>SNOMED CT:408729009 Finding context</t>
  </si>
  <si>
    <t>NL-CM:5.1.5</t>
  </si>
  <si>
    <t>Toelichting van diegene die het Probleem heeft vastgesteld of bijgewerkt.</t>
  </si>
  <si>
    <t>TabakGebruik</t>
  </si>
  <si>
    <t>TabakGebruik-v3.1(2017NL)</t>
  </si>
  <si>
    <t>EN: TobaccoUse</t>
  </si>
  <si>
    <t>NL-CM:7.2.1</t>
  </si>
  <si>
    <t>Rootconcept van de bouwsteen TabakGebruik. Dit concept bevat alle gegevenselementen van de bouwsteen TabakGebruik.</t>
  </si>
  <si>
    <t>NL-CM:7.2.3</t>
  </si>
  <si>
    <t>SoortTabakGebruik</t>
  </si>
  <si>
    <t>EN: TypeOfTobaccoUsed</t>
  </si>
  <si>
    <t>NL-CM:7.2.9</t>
  </si>
  <si>
    <t>Soort tabak die de patiënt gebruikt.</t>
  </si>
  <si>
    <t>TabakGebruikStatus</t>
  </si>
  <si>
    <t>EN: TobaccoUseStatus</t>
  </si>
  <si>
    <t>NL-CM:7.2.10</t>
  </si>
  <si>
    <t>De status van het tabaksgebruik van de patiënt.</t>
  </si>
  <si>
    <t>SNOMED CT: 365980008 Finding of tobacco use and exposure (finding)</t>
  </si>
  <si>
    <t>NL-CM:7.2.2</t>
  </si>
  <si>
    <t>Deze container bevat alle gegevens over de mate waarin de patiënt aan tabak is blootgesteld geweest of wordt blootgesteld.</t>
  </si>
  <si>
    <t>NL-CM:7.2.4</t>
  </si>
  <si>
    <t>De datum waarop is gestart met roken.</t>
  </si>
  <si>
    <t>NL-CM:7.2.5</t>
  </si>
  <si>
    <t>De datum waarop is gestopt met roken</t>
  </si>
  <si>
    <t>NL-CM:7.2.6</t>
  </si>
  <si>
    <t>Het aantal sigaretten, sigaren of gram shag per dag, week, maand of jaar.</t>
  </si>
  <si>
    <t>PackYears</t>
  </si>
  <si>
    <t>EN: PackYears</t>
  </si>
  <si>
    <t>NL-CM:7.2.7</t>
  </si>
  <si>
    <t>De eenheid waarin de totale blootstelling aan tabaksrook bij rokers beschreven wordt.  Bij sigaretten wordt dit berekend aan de hand van het aantal gerookte pakjes sigaretten per dag (inhoud pakje is 20 stuks) en het aantal jaren dat werd gerookt. Bij andere rookwaren wordt vaak een omrekening naar equivalente sigarettenconsumptie gehanteerd. Vaak wordt ook alleen het aantal packyears geschat.</t>
  </si>
  <si>
    <t>SNOMED CT: 401201003 Cigarette pack-years</t>
  </si>
  <si>
    <t>Toedieningsafspraak</t>
  </si>
  <si>
    <t>Toedieningsafspraak-v1.0.1(2017NL)</t>
  </si>
  <si>
    <t>EN: AdministrationAgreement</t>
  </si>
  <si>
    <t>NL-CM:9.8.20132</t>
  </si>
  <si>
    <t>Rootconcept van de bouwsteen Toedieningsafspraak. Dit rootconcept bevat alle gegevenselementen van de bouwsteen Toedieningsafspraak.</t>
  </si>
  <si>
    <t>Verstrekker::Zorgaanbieder</t>
  </si>
  <si>
    <t>EN: Supplier::HealthProfessional</t>
  </si>
  <si>
    <t>NL-CM:9.8.22097</t>
  </si>
  <si>
    <t>De verstrekker (apotheker) die de toedieningsafspraak heeft vastgelegd.</t>
  </si>
  <si>
    <t>Dit is een verwijzing naar het rootconcept van de bouwsteen Zorgaanbieder.</t>
  </si>
  <si>
    <t>GeneesmiddelBijToedieningsAfspraak::FarmaceutischProduct</t>
  </si>
  <si>
    <t>EN: MedicineForAdministrationAgreement::FarmaceuticalProduct</t>
  </si>
  <si>
    <t>NL-CM:9.8.20237</t>
  </si>
  <si>
    <t>Geneesmiddel horende bij de toedieningsafspraak.</t>
  </si>
  <si>
    <t>NL-CM:9.8.22098</t>
  </si>
  <si>
    <t>Aanwijzingen voor de toediening van de medicatie, bijvoorbeeld dosering en toedieningsweg.</t>
  </si>
  <si>
    <t>ToedieningsafspraakDatumTijd</t>
  </si>
  <si>
    <t>EN: AdministrationAgreementDateTime</t>
  </si>
  <si>
    <t>NL-CM:9.8.20133</t>
  </si>
  <si>
    <t>Het tijdstip waarop de afspraak gemaakt is.</t>
  </si>
  <si>
    <t>RedenAfspraak</t>
  </si>
  <si>
    <t>EN: AgreementReason</t>
  </si>
  <si>
    <t>NL-CM:9.8.22499</t>
  </si>
  <si>
    <t>Reden voor deze afspraak. Dit zal vaak dezelfde reden zijn als die van de medicatieafspraak.
Dit veld geeft de mogelijkheid om - indien van toepassing - een specifieke reden voor de toedieningsafspraak op te nemen. Voorbeelden hiervan zijn: substitutie, overgang naar GDS, wens patiënt voor ander handelsproduct, et cetera.</t>
  </si>
  <si>
    <t>NL-CM:9.8.22660</t>
  </si>
  <si>
    <t>NL-CM:9.8.22394</t>
  </si>
  <si>
    <t>Relatie naar medicatieafspraak waarop de toedieningsafspraak gebaseerd is.</t>
  </si>
  <si>
    <t>Dit is een verwijzing naar het rootconcept van de bouwsteen Medicatieafspraak.</t>
  </si>
  <si>
    <t>ToediengingsafspraakStopType</t>
  </si>
  <si>
    <t>EN: AdministrationAgreementStopType</t>
  </si>
  <si>
    <t>NL-CM:9.8.22498</t>
  </si>
  <si>
    <t>NL-CM:9.8.23034</t>
  </si>
  <si>
    <t>In geval van foutcorrectie wordt bij de foutieve afspraak deze indicator aangezet.</t>
  </si>
  <si>
    <t>ToedieningsafspraakAanvullendeInformatie</t>
  </si>
  <si>
    <t>EN: AdministrationAgreementAdditionalInformation</t>
  </si>
  <si>
    <t>NL-CM:9.8.23284</t>
  </si>
  <si>
    <t>Aanvullende informatie bevat bijzonderheden over de invulling van de gemaakte afspraak. 
Dit element bevat vooral gegevens die tot op heden met ZZ-regels worden ingevuld. De medicatiegerelateerde onderwerpen die nu met de ZZ-regels worden ondersteund, kunnen het beste met behulp van systeemfunctionaliteit worden ondersteund. Hiervoor is een traject ingang gezet door Z-index/KNMP. Vooralsnog wordt onderstaande lijst gehanteerd. In een later stadium zal deze lijst vervangen worden door een thesaurus in de G-standaard.</t>
  </si>
  <si>
    <t>NL-CM:9.8.22275</t>
  </si>
  <si>
    <t>Opmerkingen met betrekking tot de toedieningsafspraak.</t>
  </si>
  <si>
    <t>Vaccinatie-v3.1(2017NL)</t>
  </si>
  <si>
    <t>NL-CM:11.1.1</t>
  </si>
  <si>
    <t>Rootconcept van de bouwsteen Vaccinatie. Dit rootconcept bevat alle gegevenselementen van de bouwsteen Vaccinatie.</t>
  </si>
  <si>
    <t>ProductCode</t>
  </si>
  <si>
    <t>EN: ProductCode</t>
  </si>
  <si>
    <t>NL-CM:11.1.2</t>
  </si>
  <si>
    <t>De productcode van het toegediende vaccin.
Er zijn meerdere mogelijke codesystemen om de productcode vast te leggen. Indien de vaccinatiegegevens op basis van een anamnese zijn geregistreerd, dan is codering met de ATC code de voorkeur. In alle gevallen gaat het om die producten, die in de ATC groep J07 vallen (vaccins).</t>
  </si>
  <si>
    <t>Dosis</t>
  </si>
  <si>
    <t>EN: Dose</t>
  </si>
  <si>
    <t>NL-CM:11.1.4</t>
  </si>
  <si>
    <t>De hoeveelheid gegeven product weergegeven in milliliters. In de meeste gevallen wordt het gehele product toegediend, in sommige gevallen wordt een omschreven deel van het product toegediend.</t>
  </si>
  <si>
    <t>VaccinatieDatum</t>
  </si>
  <si>
    <t>EN: VaccinationDate</t>
  </si>
  <si>
    <t>NL-CM:11.1.3</t>
  </si>
  <si>
    <t>Datum (en eventueel tijd) dat het vaccin is toegediend.</t>
  </si>
  <si>
    <t>GewensteDatumHervaccinatie</t>
  </si>
  <si>
    <t>EN: PreferedDateForRevaccination</t>
  </si>
  <si>
    <t>NL-CM:11.1.5</t>
  </si>
  <si>
    <t>Datum waarop deze vaccinatie volgens de gegevens van de auteur herhaald zal moeten worden.</t>
  </si>
  <si>
    <t>Toediener::Zorgverlener</t>
  </si>
  <si>
    <t>EN: Administrator::Healthprofessional</t>
  </si>
  <si>
    <t>NL-CM:11.1.6</t>
  </si>
  <si>
    <t>De zorgverlener en/of organisatie waar of door wie de immunisatie werd uitgevoerd.</t>
  </si>
  <si>
    <t>NL-CM:11.1.7</t>
  </si>
  <si>
    <t>Vrije tekst als toelichting. 
Voorbeelden van veel gebruikte toelichtingen zijn: 
- "Vaccinatie volgens Rijksvaccinatieprogramma". 
- "Niet volgens Rijksvaccinatieprogramma", gevolgd door een verdere toelichting.
- "Onbekend"</t>
  </si>
  <si>
    <t>Verrichting-v4.1(2017NL)</t>
  </si>
  <si>
    <t>NL-CM:14.1.1</t>
  </si>
  <si>
    <t>Rootconcept van de bouwsteen Verrichting. Dit rootconcept bevat alle gegevenselementen van de bouwsteen Verrichting.</t>
  </si>
  <si>
    <t>SNOMED CT: 71388002 Verrichting</t>
  </si>
  <si>
    <t>VerrichtingStartDatum</t>
  </si>
  <si>
    <t>EN: ProcedureStartDate</t>
  </si>
  <si>
    <t>NL-CM:14.1.2</t>
  </si>
  <si>
    <t>De startdatum (en eventueel starttijd) van de verrichting. Een vage datum, bijv. alleen een jaartal, is toegestaan.
Het element biedt de mogelijkheid om de start van de periode van een reeks bij elkaar behorende verrichtingen aan te geven.</t>
  </si>
  <si>
    <t>VerrichtingEindDatum</t>
  </si>
  <si>
    <t>EN: ProcedureEndDate</t>
  </si>
  <si>
    <t>NL-CM:14.1.3</t>
  </si>
  <si>
    <t>De einddatum (en eventueel eindtijd) van de verrichting. Een vage datum, bijv. alleen een jaartal, is toegestaan.
Het element biedt de mogelijkheid om het einde van de periode van een reeks bij elkaar behorende verrichtingen aan te geven.</t>
  </si>
  <si>
    <t>VerrichtingAnatomischeLocatie</t>
  </si>
  <si>
    <t>EN: ProcedureAnatomicalLocation</t>
  </si>
  <si>
    <t>NL-CM:14.1.8</t>
  </si>
  <si>
    <t>VerrichtingLateraliteit</t>
  </si>
  <si>
    <t>EN: ProcedureLaterality</t>
  </si>
  <si>
    <t>NL-CM:14.1.11</t>
  </si>
  <si>
    <t>NL-CM:14.1.9</t>
  </si>
  <si>
    <t>De indicatie is de reden voor het uitvoeren van de verrichting.</t>
  </si>
  <si>
    <t>SNOMED CT: 363702006  Has focus</t>
  </si>
  <si>
    <t>Dit is een verwijzing naar het root concept van de bouwsteen Probleem.</t>
  </si>
  <si>
    <t>VerrichtingType</t>
  </si>
  <si>
    <t>EN: ProcedureType</t>
  </si>
  <si>
    <t>NL-CM:14.1.4</t>
  </si>
  <si>
    <t>De naam van de verrichting. 
Vanaf 1 januari 2013 moeten alle verrichtingen in het primaire proces worden vastgelegd met CBV codes. Om hieraan te voldoen wordt de verrichtingenthesaurus van DHD (CBV verrichtingenset ) voor het coderen van verrichtingen gebruikt. Mogelijk dat in de toekomst naast de CBV verrichtingenset ook de NIC voor verpleegkundige verrichtingen gehanteerd gaat worden en dat er een “coded valueset” komt voor paramedische verrichtingen.</t>
  </si>
  <si>
    <t>VerrichtingMethode</t>
  </si>
  <si>
    <t>EN: ProcedureMethod</t>
  </si>
  <si>
    <t>NL-CM:14.1.12</t>
  </si>
  <si>
    <t>De methode of de techniek die toegepast is bij het uitvoeren van de verrichting, zoals toegangsmethode, lavage, pressuring, etc</t>
  </si>
  <si>
    <t>SNOMED CT: 260686004 Method</t>
  </si>
  <si>
    <t>NL-CM:14.1.7</t>
  </si>
  <si>
    <t>Het product waarvan het plaatsen in of aan het lichaam het doel is van de verrichting, bijv. het plaatsen van een implantaat.</t>
  </si>
  <si>
    <t>NL-CM:14.1.5</t>
  </si>
  <si>
    <t>De zorginstelling waar de verrichting is of wordt uitgevoerd.</t>
  </si>
  <si>
    <t>Uitvoerder::Zorgverlener</t>
  </si>
  <si>
    <t>EN: Performer::HealthProfessional</t>
  </si>
  <si>
    <t>NL-CM:14.1.6</t>
  </si>
  <si>
    <t>De zorgverlener die de verrichting heeft uitgevoerd. In de meeste gevallen wordt alleen het specialisme en niet de naam van de zorgverlener doorgegeven.</t>
  </si>
  <si>
    <t>NL-CM:14.1.10</t>
  </si>
  <si>
    <t>De zorgverlener die de verrichting heeft aangevraagd.</t>
  </si>
  <si>
    <t>Voedingsadvies</t>
  </si>
  <si>
    <t>Voedingsadvies-v3.1(2017NL)</t>
  </si>
  <si>
    <t>EN: NutritionAdvice</t>
  </si>
  <si>
    <t>NL-CM:7.11.1</t>
  </si>
  <si>
    <t>Rootconcept van de bouwsteen Voedingsadvies. Dit concept bevat alle gegevenselementen van de bouwsteen Voedingsadvies.</t>
  </si>
  <si>
    <t>SNOMED CT: 11816003 Dietary advice</t>
  </si>
  <si>
    <t>DieetType</t>
  </si>
  <si>
    <t>EN: DietType</t>
  </si>
  <si>
    <t>NL-CM:7.11.2</t>
  </si>
  <si>
    <t>De omschrijving van het type dieet.</t>
  </si>
  <si>
    <t>SNOMED CT: 41829006 Dietary finding</t>
  </si>
  <si>
    <t>Consistentie</t>
  </si>
  <si>
    <t>EN: Consistency</t>
  </si>
  <si>
    <t>NL-CM:7.11.3</t>
  </si>
  <si>
    <t>De omschrijving van consistentie van de voeding.</t>
  </si>
  <si>
    <t>SNOMED CT: 229961002 Food consistency types</t>
  </si>
  <si>
    <t>NL-CM:7.11.4</t>
  </si>
  <si>
    <t>Een toelichting op het voedingsadvies.</t>
  </si>
  <si>
    <t>Wilsverklaring-v3.1(2017NL)</t>
  </si>
  <si>
    <t>EN:AdvanceDirective</t>
  </si>
  <si>
    <t>NL-CM:7.15.1</t>
  </si>
  <si>
    <t>Rootconcept van de bouwsteen Wilsverklaring. Dit concept bevat alle gegevenselementen van de bouwsteen Wilsverklaring.</t>
  </si>
  <si>
    <t>WilsverklaringType</t>
  </si>
  <si>
    <t>EN: LivingWillType</t>
  </si>
  <si>
    <t>NL-CM:7.15.2</t>
  </si>
  <si>
    <t>Aanduiding van de verschillende soorten wilsverklaringen.</t>
  </si>
  <si>
    <t>WilsverklaringDatum</t>
  </si>
  <si>
    <t>EN: LivingWillDate</t>
  </si>
  <si>
    <t>NL-CM:7.15.7</t>
  </si>
  <si>
    <t>De datum waarop de wilsverklaring is vastgelegd.</t>
  </si>
  <si>
    <t>Aandoening::Probleem</t>
  </si>
  <si>
    <t>EN: Disorder::Problem</t>
  </si>
  <si>
    <t>NL-CM:7.15.4</t>
  </si>
  <si>
    <t>Het probleem of aandoening waar de wilsverklaring betrekking op heeft.</t>
  </si>
  <si>
    <t>Vertegenwoordiger::Contactpersoon</t>
  </si>
  <si>
    <t>EN: Representative::Contact</t>
  </si>
  <si>
    <t>NL-CM:7.15.3</t>
  </si>
  <si>
    <t>De persoon die wettelijke vertegerwoordiger is of in de ondertekende volmacht als gevolmachtigde wordt benoemd.</t>
  </si>
  <si>
    <t>Dit is een verwijzing naar het rootconcept van de bouwsteen Contactpersoon.</t>
  </si>
  <si>
    <t>WilsverklaringDocument</t>
  </si>
  <si>
    <t>EN: LivingWillDocument</t>
  </si>
  <si>
    <t>ED</t>
  </si>
  <si>
    <t>NL-CM:7.15.5</t>
  </si>
  <si>
    <t>Ingescand brondocument met de wilsverklaring en handtekening van de patiënt, bijv. een PDF.</t>
  </si>
  <si>
    <t>NL-CM:7.15.6</t>
  </si>
  <si>
    <t>Toelichting bij de wilsverklaring, bijvoorbeeld de vorm, zoals een penning, een tattoo etc. of waar de wilsverklaring te vinden is.</t>
  </si>
  <si>
    <t>Woonsituatie</t>
  </si>
  <si>
    <t>Woonsituatie-v3.1(2017NL)</t>
  </si>
  <si>
    <t>EN: LivingSituation</t>
  </si>
  <si>
    <t>NL-CM:7.8.1</t>
  </si>
  <si>
    <t>Rootconcept van de bouwsteen Woonsituatie. Dit rootconcept bevat alle gegevenselementen van de bouwsteen Woonsituatie.</t>
  </si>
  <si>
    <t>SNOMED CT: 365508006 Finding of residence and accommodation circumstances</t>
  </si>
  <si>
    <t>NL-CM:7.8.2</t>
  </si>
  <si>
    <t>Opmerkingen in vrije tekst over problemen of details rondom de woonsituatie van de patiënt die relevant kunnen zijn.</t>
  </si>
  <si>
    <t>WoningType</t>
  </si>
  <si>
    <t>EN: HouseType</t>
  </si>
  <si>
    <t>NL-CM:7.8.3</t>
  </si>
  <si>
    <t>Type woning waarin de patiënt woont.</t>
  </si>
  <si>
    <t>AWBZ instelling</t>
  </si>
  <si>
    <t>Zorgverlener-v3.2(2017NL)</t>
  </si>
  <si>
    <t>NL-CM:17.1.1</t>
  </si>
  <si>
    <t>Rootconcept van de bouwsteen Zorgverlener. Dit rootconcept bevat alle gegevenselementen van de bouwsteen Zorgverlener. 
Bij verwijzing naar deze bouwsteen kan tevens de rol die de zorgverlener in het zorgproces vervult, worden meegegeven. Voor zorgverleners kan dit bijvoorbeeld hoofdbehandelaar of verwijzer zijn</t>
  </si>
  <si>
    <t>ZorgverlenerIdentificatienummer</t>
  </si>
  <si>
    <t>EN: HealthProfessionalIdentificationNumber</t>
  </si>
  <si>
    <t>NL-CM:17.1.2</t>
  </si>
  <si>
    <t>Het zorgverleneridentificatienummer is een nummer dat de zorgverlener uniek identificeert. 
In de Nederlandse situatie worden de volgende nummers gebruikt: 
1. Zorgverlener UZI. Identificatie van zorgverleners (natuurlijke personen) in de Nederlandse zorgsector.
2. VEKTIS AGB-Z. Dient ter identificatie van zorgverleners en zorgverlenende organisaties
3. BIG-ID. Het ID van de in het BIG Register opgenomen zorgverlener. 
Voor buitenlandse zorgverleners zijn deze gegevens niet voorhanden.</t>
  </si>
  <si>
    <t>NL-CM:17.1.3</t>
  </si>
  <si>
    <t>De naamgegevens van de zorgverlener. Indien een zorgverleneridentificatienummer wordt opgegeven, is dit de naam zoals vermeld in UZI, AGB of in de instelling.</t>
  </si>
  <si>
    <t>Specialisme</t>
  </si>
  <si>
    <t>EN: Specialty</t>
  </si>
  <si>
    <t>NL-CM:17.1.4</t>
  </si>
  <si>
    <t>Medisch specialisme van de zorgverlener. Het betreft hierbij de erkende medische specialismen zoals vermeld in de wet BIG. Bijvoorbeeld huisarts of cardioloog.</t>
  </si>
  <si>
    <t>SNOMED CT: 394658006 clinical speciality</t>
  </si>
  <si>
    <t>nl.zorg.Zorgverlener-v3.2(2017NL)</t>
  </si>
  <si>
    <t>NL-CM:17.1.7</t>
  </si>
  <si>
    <t>Adresgegevens van de zorgverlener.</t>
  </si>
  <si>
    <t>NL-CM:17.1.8</t>
  </si>
  <si>
    <t>Telefoonnummer(s) of e-mailadres(sen) van de zorgverlener.</t>
  </si>
  <si>
    <t>EN: HealthcareProvider</t>
  </si>
  <si>
    <t>NL-CM:17.1.6</t>
  </si>
  <si>
    <t>De organisatie waarbij de zorgverlener werkzaam is.</t>
  </si>
  <si>
    <t>ZorgverlenersRol</t>
  </si>
  <si>
    <t>EN: HealthProfessionalRole</t>
  </si>
  <si>
    <t>NL-CM:17.1.5</t>
  </si>
  <si>
    <t>De rol die de zorgverlener in het zorgproces vervult. Voor zorgverleners kan dit bijvoorbeeld behandelaar, verwijzer of uitvoerder zijn.</t>
  </si>
  <si>
    <t>Ademhaling</t>
  </si>
  <si>
    <t>Ademhaling-v3.1(2017NL)</t>
  </si>
  <si>
    <t>EN: Respiration</t>
  </si>
  <si>
    <t>NL-CM:12.5.1</t>
  </si>
  <si>
    <t>Rootconcept van de bouwsteen Ademhaling. Dit rootconcept bevat alle gegevenselementen van de bouwsteen Ademhaling.</t>
  </si>
  <si>
    <t>Ademfrequentie</t>
  </si>
  <si>
    <t>EN: BreathingFrequency</t>
  </si>
  <si>
    <t>NL-CM:12.5.2</t>
  </si>
  <si>
    <t>De waarde van de gemeten ademhalingsfrequentie. De ademhalingsfrequentie betreft het aantal ademhalingen per minuut.</t>
  </si>
  <si>
    <t>LOINC: 9279-1 Respiratory Rate</t>
  </si>
  <si>
    <t>AdemhalingDatumTijd</t>
  </si>
  <si>
    <t>EN: BreathingDateTime</t>
  </si>
  <si>
    <t>NL-CM:12.5.4</t>
  </si>
  <si>
    <t>Datum en eventueel tijd van de meting.</t>
  </si>
  <si>
    <t>Ritme</t>
  </si>
  <si>
    <t>EN: Rhythm</t>
  </si>
  <si>
    <t>NL-CM:12.5.5</t>
  </si>
  <si>
    <t>Het ritme of de regelmaat van de ademhaling.</t>
  </si>
  <si>
    <t>SNOMED CT: 48064009 Respiratory rhythm</t>
  </si>
  <si>
    <t>Diepte</t>
  </si>
  <si>
    <t>EN: Depth</t>
  </si>
  <si>
    <t>NL-CM:12.5.6</t>
  </si>
  <si>
    <t>De diepte van de ademteugen.</t>
  </si>
  <si>
    <t>SNOMED CT: 271626009 Depth of respiration</t>
  </si>
  <si>
    <t>AfwijkendAdemhalingspatroon</t>
  </si>
  <si>
    <t>EN: DeviatingBreathingPattern</t>
  </si>
  <si>
    <t>NL-CM:12.5.7</t>
  </si>
  <si>
    <t>Specifieke, abnormale ademhalingspatronen.</t>
  </si>
  <si>
    <t>SNOMED CT: 278907009 Respiratory pattern</t>
  </si>
  <si>
    <t>ExtraZuurstofToediening</t>
  </si>
  <si>
    <t>EN: ExtraOxygenAdministration</t>
  </si>
  <si>
    <t>NL-CM:12.5.12</t>
  </si>
  <si>
    <t>Een indicatie die aangeeft of de patiënt extra zuurstof toegediend krijgt. Additionele informatie kan in dat geval worden vastgelegd in de concepten die deel uit  maken van de container ToegediendeZuurstof.</t>
  </si>
  <si>
    <t>NL-CM:12.5.3</t>
  </si>
  <si>
    <t>Opmerking over bijkomende factoren die de ademhaling kunnen beïnvloeden. Bijvoorbeeld, het niveau van angst, pijn, voeding bij zuigelingen, tracheostomie.</t>
  </si>
  <si>
    <t>ToegediendeZuurstof</t>
  </si>
  <si>
    <t>EN: AdministeredOxygen</t>
  </si>
  <si>
    <t>NL-CM:12.5.8</t>
  </si>
  <si>
    <t>Container van het concept ToegediendeZuurstof. Deze container bevat alle gegevenselementen van het concept ToegediendeZuurstof.</t>
  </si>
  <si>
    <t>FlowRate</t>
  </si>
  <si>
    <t>EN: FlowRate</t>
  </si>
  <si>
    <t>NL-CM:12.5.10</t>
  </si>
  <si>
    <t>De hoeveelheid toegediende zuurstof. De waarde ligt tussen 0.0 en 50.0 l/min.</t>
  </si>
  <si>
    <t>SNOMED CT: 427081008 Delivered oxygen flow rate (observable entity)</t>
  </si>
  <si>
    <t>FiO2</t>
  </si>
  <si>
    <t>EN: FiO2</t>
  </si>
  <si>
    <t>NL-CM:12.5.9</t>
  </si>
  <si>
    <t>De fractionele inspiratoire zuurstof concentratie. Waarde ligt tussen 0.0 en 1.0, met een normale waarde van 0.21 (geen extra zuurstoftoediening).</t>
  </si>
  <si>
    <t>SNOMED CT: 250774007 Inspired oxygen concentration</t>
  </si>
  <si>
    <t>ToedieningHulpmiddel::MedischHulpmiddel</t>
  </si>
  <si>
    <t>EN: AdministrationDevice::MedicalDevice</t>
  </si>
  <si>
    <t>NL-CM:12.5.13</t>
  </si>
  <si>
    <t>Hulpmiddel dat gebruikt wordt bij de toediening van extra zuurstof aan de patiënt.</t>
  </si>
  <si>
    <t>Type toedieningshulpmiddel.</t>
  </si>
  <si>
    <t>AlgemeneMeting</t>
  </si>
  <si>
    <t>AlgemeneMeting-v3.0(2017NL)</t>
  </si>
  <si>
    <t>EN: GeneralMeasurement</t>
  </si>
  <si>
    <t>NL-CM:13.3.1</t>
  </si>
  <si>
    <t>Rootconcept van de bouwsteen AlgemeneMeting. Dit rootconcept bevat alle gegevenselementen van de bouwsteen AlgemeneMeting.</t>
  </si>
  <si>
    <t>EN: Investigation</t>
  </si>
  <si>
    <t>NL-CM:13.3.2</t>
  </si>
  <si>
    <t>Een algemene meting kan uit meerdere onderdelen bestaan. Dit concept bevat de naam en code van de gehele meting. De onderdelen worden in één of meerdere concepten MeetUitslag gerepresenteerd.</t>
  </si>
  <si>
    <t>NL-CM:13.3.3</t>
  </si>
  <si>
    <t>De status van de totale meting.</t>
  </si>
  <si>
    <t>NL-CM:13.3.4</t>
  </si>
  <si>
    <t>Opmerkingen, zoals interpretatie van of advies bij de uitslag.</t>
  </si>
  <si>
    <t>MeetUitslag</t>
  </si>
  <si>
    <t>EN: MeasurementResult</t>
  </si>
  <si>
    <t>NL-CM:13.3.5</t>
  </si>
  <si>
    <t>Container van het concept MeetUitslag. Deze container bevat alle gegevenselementen van het concept MeetUitslag.</t>
  </si>
  <si>
    <t>MetingNaam</t>
  </si>
  <si>
    <t>EN: MeasurementName</t>
  </si>
  <si>
    <t>NL-CM:13.3.6</t>
  </si>
  <si>
    <t>Omschrijving (naam en code) van de uitgevoerde meting.</t>
  </si>
  <si>
    <t>UitslagWaarde</t>
  </si>
  <si>
    <t>EN: ResultValue</t>
  </si>
  <si>
    <t>NL-CM:13.3.7</t>
  </si>
  <si>
    <t>De uitslag van de meting. Afhankelijk van de soort meting bestaat de uitslag uit een waarde met eenheid of uit een gecodeerde waarde (ordinaal of nominaal) of uit een tekstuele uitslag.</t>
  </si>
  <si>
    <t>NL-CM:13.3.8</t>
  </si>
  <si>
    <t>UitslagDatumTijd</t>
  </si>
  <si>
    <t>EN: ResultDateTime</t>
  </si>
  <si>
    <t>NL-CM:13.3.9</t>
  </si>
  <si>
    <t>Datum en eventueel tijdstip waarop de meting uitgevoerd is.</t>
  </si>
  <si>
    <t>ApgarScore</t>
  </si>
  <si>
    <t>ApgarScore-v1.0(2017NL)</t>
  </si>
  <si>
    <t>EN: ApgarScore</t>
  </si>
  <si>
    <t>NL-CM:12.16.1</t>
  </si>
  <si>
    <t>Rootconcept van de bouwsteen ApgarScore. Dit rootconcept bevat alle gegevenselementen van de bouwsteen ApgarScore.</t>
  </si>
  <si>
    <t>ApgarScoreDatumTijd</t>
  </si>
  <si>
    <t>EN: ApgarScoreDateTime</t>
  </si>
  <si>
    <t>NL-CM:12.16.3</t>
  </si>
  <si>
    <t>De dag en tijdstip waarop de Apgar score is vastgelegd.</t>
  </si>
  <si>
    <t>ApgarScoreTotaal</t>
  </si>
  <si>
    <t>EN: ApgarScoreTotal</t>
  </si>
  <si>
    <t>NL-CM:12.16.2</t>
  </si>
  <si>
    <t>Totaal van de Apgar score.</t>
  </si>
  <si>
    <t>LOINC: 9271-8 10 minute Apgar Score</t>
  </si>
  <si>
    <t>LOINC: 9272-6 1 minute Apgar Score</t>
  </si>
  <si>
    <t>LOINC: 9274-2 5 minute Apgar Score</t>
  </si>
  <si>
    <t>Waardebereik: 0-10</t>
  </si>
  <si>
    <t>AdemhalingScore</t>
  </si>
  <si>
    <t>EN: RespiratoryScore</t>
  </si>
  <si>
    <t>NL-CM:12.16.4</t>
  </si>
  <si>
    <t>De Apgar deelscore voor de ademhaling.</t>
  </si>
  <si>
    <t>LOINC: 32405-3 10 minute Apgar Respiratory effort</t>
  </si>
  <si>
    <t>LOINC: 32410-3 1 minute Apgar Respiratory effort</t>
  </si>
  <si>
    <t>LOINC: 32415-2 5 minute Apgar Respiratory effort</t>
  </si>
  <si>
    <t>HuidskleurScore</t>
  </si>
  <si>
    <t>EN: AppearanceScore</t>
  </si>
  <si>
    <t>NL-CM:12.16.7</t>
  </si>
  <si>
    <t>De Apgar deelscore voor de huidskleur/aspect.</t>
  </si>
  <si>
    <t>LOINC: 32401-2 10 minute Apgar Color</t>
  </si>
  <si>
    <t>LOINC: 32406-1 1 minute Apgar Color</t>
  </si>
  <si>
    <t>LOINC: 32411-1 5 minute Apgar Color</t>
  </si>
  <si>
    <t>HartslagScore</t>
  </si>
  <si>
    <t>EN: PulseScore</t>
  </si>
  <si>
    <t>NL-CM:12.16.5</t>
  </si>
  <si>
    <t>De Apgar deelscore voor de hartslag/pols.</t>
  </si>
  <si>
    <t>LOINC: 32402-0 10 minute Apgar Heart rate</t>
  </si>
  <si>
    <t>LOINC: 32407-9 1 minute Apgar Heart rate</t>
  </si>
  <si>
    <t>LOINC: 32412-9 5 minute Apgar Heart rate</t>
  </si>
  <si>
    <t>ReflexenScore</t>
  </si>
  <si>
    <t>EN: GrimaceScore</t>
  </si>
  <si>
    <t>NL-CM:12.16.8</t>
  </si>
  <si>
    <t>De Apgar deelscore voor de reactie op prikkels.</t>
  </si>
  <si>
    <t>LOINC: 32404-6 10 minute Apgar Reflex irritability</t>
  </si>
  <si>
    <t>LOINC: 32409-5 1 minute Apgar Reflex irritability</t>
  </si>
  <si>
    <t>LOINC: 32414-5 5 minute Apgar Reflex irritability</t>
  </si>
  <si>
    <t>SpierspanningScore</t>
  </si>
  <si>
    <t>EN: MusleToneScore</t>
  </si>
  <si>
    <t>NL-CM:12.16.6</t>
  </si>
  <si>
    <t>De Apgar deelscore voor de spierspanning/tonus.</t>
  </si>
  <si>
    <t>LOINC: 32403-8 10 minute Apgar Muscle tone</t>
  </si>
  <si>
    <t>LOINC: 32408-7 1 minute Apgar Muscle tone</t>
  </si>
  <si>
    <t>LOINC: 32413-7 5 minute Apgar Muscle tone</t>
  </si>
  <si>
    <t>NL-CM:12.16.9</t>
  </si>
  <si>
    <t>De toelichting op de Apgar score.</t>
  </si>
  <si>
    <t>BarthelIndex</t>
  </si>
  <si>
    <t>BarthelIndex-v3.1(2017NL)</t>
  </si>
  <si>
    <t>EN: BarthelADLIndex</t>
  </si>
  <si>
    <t>NL-CM:4.2.1</t>
  </si>
  <si>
    <t>Rootconcept van de bouwsteen BarthelIndex. Dit rootconcept bevat alle gegevenselementen van de bouwsteen BarthelIndex.</t>
  </si>
  <si>
    <t>SNOMED CT: 273302005 Barthel index (assessment scale)</t>
  </si>
  <si>
    <t>Darm</t>
  </si>
  <si>
    <t>EN: Bowels</t>
  </si>
  <si>
    <t>NL-CM:4.2.4</t>
  </si>
  <si>
    <t>De darmfunctie beschrijft de mate van ontlastingsincontinentie.
Bij de uitvraag wordt de toestand van de voorgaande week beschouwd. 
Hierbij worden de volgende interpretaties gehanteerd:
-  Incontinent: incontinent of klysma noodzakelijk.
-  Ongelukje: max. 1 keer per week een ongelukje.
-  Continent: gedurende de hele week continent.</t>
  </si>
  <si>
    <t>Blaas</t>
  </si>
  <si>
    <t>EN: Bladder</t>
  </si>
  <si>
    <t>NL-CM:4.2.3</t>
  </si>
  <si>
    <t>De blaasfunctie beschrijft de mate van urine-incontinentie.
Bij de uitvraag wordt de toestand van de voorgaande week beschouwd. 
Hierbij worden de volgende interpretaties gehanteerd:
-  Incontinent: incontinent of katheter.
-  Ongelukje: max. 1 keer per 24 uur een ongelukje.
-  Continent: gedurende de hele week continent of een patiënt die zijn katheter zelf kan verzorgen.</t>
  </si>
  <si>
    <t>UiterlijkeVerzorging</t>
  </si>
  <si>
    <t>EN: Grooming</t>
  </si>
  <si>
    <t>NL-CM:4.2.5</t>
  </si>
  <si>
    <t>Uiterlijke verzorging geeft een indicatie van de mate waarin de patiënt in staat is zichzelf te verzorgen. Dit verwijst naar persoonlijke verzorging zoals tandenpoetsen, haren te kammen, scheren en wassen. 
Bij de uitvraag wordt de toestand van de voorgaande 24-48 uur beschouwd.  
Hierbij worden de volgende interpretaties gehanteerd: 
-  Afhankelijk: niet in staat zelfstandig het uiterlijk te verzorgen.
-  Onafhankelijk: in staat zelfstandig tanden te poetsen,  haren te kammen, te scheren en te wassen.</t>
  </si>
  <si>
    <t>Toiletgebruik</t>
  </si>
  <si>
    <t>EN: ToiletUse</t>
  </si>
  <si>
    <t>NL-CM:4.2.6</t>
  </si>
  <si>
    <t>Toiletgebruik geeft een indicatie van de mate waarin de patiënt in staat is zelfstandig het toilet te gebruiken. 
Hierbij worden de volgende interpretaties gehanteerd:
-  Afhankelijk: afhankelijk.
-  Hulp: heeft enige hulp nodig maar kan sommige dingen zelf, bijvoorbeeld zichzelf afvegen.
-  Onafhankelijk: in staat om naar toilet te gaan, zich voldoende uit te kleden, schoon te maken, aan te kleden en weg te gaan.</t>
  </si>
  <si>
    <t>EN: Feeding</t>
  </si>
  <si>
    <t>NL-CM:4.2.7</t>
  </si>
  <si>
    <t>Eten geeft een indicatie van de mate waarin de patiënt zelfstandig kan eten.
Hierbij worden de volgende interpretaties gehanteerd:
-  Niet zelfstandig: niet in staat zelfstandig te eten.
-  Hulp: voedsel wordt fijngemaakt; patiënt eet zelf maar heeft hulp nodig bij snijden, smeren van boter, enzovoorts.
-  Onafhankelijk: in staat om normaal voedsel (ook hard voedsel) te eten. Het eten mag gekookt en geserveerd worden door anderen maar mag niet worden fijngemaakt.</t>
  </si>
  <si>
    <t>EN:Transfers</t>
  </si>
  <si>
    <t>NL-CM:4.2.8</t>
  </si>
  <si>
    <t>Transfer geeft een indicatie van de mate waarin de patiënt in staat is zelfstandig transfers uit te voeren van bed naar stoel en terug.
Hierbij worden de volgende interpretaties gehanteerd:
-  Niet zelfstandig: niet in staat om te zitten, er wordt gebruik gemaakt van tillift.
-  Veel hulp: hulp van een sterk, getraind persoon of 2 gewone personen, maar patiënt kan zelfstandig rechtop zitten.
-  Weinig hulp: een persoon voor toezicht of enige hulp, in woorden of lichamelijk.
-  Onafhankelijk: heeft geen hulp nodig.</t>
  </si>
  <si>
    <t>EN: Mobility</t>
  </si>
  <si>
    <t>NL-CM:4.2.9</t>
  </si>
  <si>
    <t>Mobiliteit geeft een indicatie van de mate waarin de patiënt in staat is zelfstandig te verplaatsen.
Hierbij worden de volgende interpretaties gehanteerd:
-  Afhankelijk: kan zich niet verplaatsen.
-  Onafhankelijk met rolstoel: maakt gebruik van rolstoel incl. het zonder hulp nemen van hoeken en deuren.
-  Loopt met hulp: hulp van één persoon, bijv. in woorden of lichamelijk.
-  Onafhankelijk: kan zich verplaatsen in huis of op afdeling; hulpmiddel mag worden gebruikt.</t>
  </si>
  <si>
    <t>EN: Dressing</t>
  </si>
  <si>
    <t>NL-CM:4.2.10</t>
  </si>
  <si>
    <t>AanUitkleden geeft een indicatie van de mate waarin de patiënt in staat is zichzelf zelfstandig aan en uit te kleden. 
Hierbij worden de volgende interpretaties gehanteerd:
-  Afhankelijk: afhankelijk.
-  Hulp: heeft hulp nodig maar kan ongeveer de helft zelf, bijv. alleen hulp bij knopen en/of ritssluitingen.
-  Onafhankelijk: in staat kleren te kiezen en aan te doen.</t>
  </si>
  <si>
    <t>TrappenLopen</t>
  </si>
  <si>
    <t>EN: ManagingStairs</t>
  </si>
  <si>
    <t>NL-CM:4.2.11</t>
  </si>
  <si>
    <t>TrappenLopen geeft een indicatie van de mate waarin de patiënt in staat is zelfstandig de trap op en af te gaan.
Hierbij worden de volgende interpretaties gehanteerd:
-  Afhankelijk: niet in staat de trap op en af te gaan.
-  Hulp: heeft hulp nodig, bijv. in woorden, lichamelijk of in de vorm van een hulpmiddel.
-  Onafhankelijk: in staat zelfstandig de trap op en af te gaan, en kan eventueel hulpmiddel zelf dragen.</t>
  </si>
  <si>
    <t>BadenDouchen</t>
  </si>
  <si>
    <t>EN: Bathing</t>
  </si>
  <si>
    <t>NL-CM:4.2.12</t>
  </si>
  <si>
    <t>BadenDouchen geeft een indicatie van de mate waarin de patiënt in staat is zelfstandig te douchen of in bad te gaan.
Hierbij worden de volgende interpretaties gehanteerd:
-  Afhankelijk: niet in staat zelfstandig te baden.
-  Onafhankelijk: in staat  zonder toezicht of hulp in en uit bad stappen en zichzelf te wassen.</t>
  </si>
  <si>
    <t>TotaalScore</t>
  </si>
  <si>
    <t>EN: TotalScore</t>
  </si>
  <si>
    <t>NL-CM:4.2.2</t>
  </si>
  <si>
    <t>De score van de Barthel index is de som van de scores op de afzonderlijke variabelen.
De interpretatie van deze totaalscore is 0-9 voor ernstig beperkt, 10-19 voor matig beperkt en
20 voor zelfstandig. Twintig is de maximale score.</t>
  </si>
  <si>
    <t>Waardebereik: 0-20</t>
  </si>
  <si>
    <t>Behandeldoel</t>
  </si>
  <si>
    <t>Behandeldoel-v3.1(2017NL)</t>
  </si>
  <si>
    <t>EN: TreatmentObjective</t>
  </si>
  <si>
    <t>NL-CM:13.5.1</t>
  </si>
  <si>
    <t>Rootconcept van de bouwsteen Behandeldoel. Dit rootconcept bevat alle gegevenselementen van de bouwsteen Behandeldoel.</t>
  </si>
  <si>
    <t>GewenstZorgresultaat</t>
  </si>
  <si>
    <t>EN: DesiredHealthcareResult</t>
  </si>
  <si>
    <t>NL-CM:13.5.5</t>
  </si>
  <si>
    <t>De tekstuele weergave van het behandeldoel. Dit concept geeft de mogelijkheid om een behandeldoel te definieren dat niet omschreven kan worden als een meetwaarde of functionele dan wel mentale status.</t>
  </si>
  <si>
    <t>LOINC: 27574-3 Skilled nursing treatment plan Progress note and attainment of goals (narrative)</t>
  </si>
  <si>
    <t>Streefwaarde::AlgemeneMeting</t>
  </si>
  <si>
    <t>EN: TargetValue::GeneralMeasurement</t>
  </si>
  <si>
    <t>NL-CM:13.5.2</t>
  </si>
  <si>
    <t>De streefwaarde betreft de gewenste waarde van een grootheid (bijv. bloeddruk, gewicht, pijnscore) die met behulp van een meting geëvalueerd kan worden.</t>
  </si>
  <si>
    <t>Dit is een verwijzing naar het rootconcept van de bouwsteen AlgemeneMeting.</t>
  </si>
  <si>
    <t>GewensteGezondheidstoestand::FunctioneleOfMentaleStatus</t>
  </si>
  <si>
    <t>EN: DesiredHealthCondition::FunctionalOrMentalStatus</t>
  </si>
  <si>
    <t>NL-CM:13.5.3</t>
  </si>
  <si>
    <t>De gewenste gezondheidstoestand is een streefwaarde die uitgedrukt kan worden als een functionele of mentale status van de patiënt.</t>
  </si>
  <si>
    <t>Dit is een verwijzing naar het rootconcept van de bouwsteen FunctioneleOfMentaleStatus.</t>
  </si>
  <si>
    <t>NL-CM:13.5.4</t>
  </si>
  <si>
    <t>Beschrijving van het probleem waar het behandeldoel betrekking op heeft.</t>
  </si>
  <si>
    <t>Brandwond</t>
  </si>
  <si>
    <t>Brandwond-v3.2(2017NL)</t>
  </si>
  <si>
    <t>EN: BurnWound</t>
  </si>
  <si>
    <t>NL-CM:19.4.1</t>
  </si>
  <si>
    <t>Rootconcept van bouwsteen Brandwond. Dit concept bevat alle gegevenselementen van de bouwsteen Brandwond.</t>
  </si>
  <si>
    <t>SNOMED CT: 125666000 Brandwond</t>
  </si>
  <si>
    <t>OntstaansDatum</t>
  </si>
  <si>
    <t>EN: DateOfOnset</t>
  </si>
  <si>
    <t>NL-CM:19.4.3</t>
  </si>
  <si>
    <t>Datum waarop de brandwond is ontstaan.</t>
  </si>
  <si>
    <t>Uitgebreidheid</t>
  </si>
  <si>
    <t>EN: Extent</t>
  </si>
  <si>
    <t>NL-CM:19.4.7</t>
  </si>
  <si>
    <t>De uitgebreidheid van een brandwond wordt weergegeven in een percentage van het ‘Totaal Verbrande Lichaamsoppervlak’ (TVLO). Voor volwassenen is het TVLO te berekenen aan de hand van de ‘regel van negen’, waarbij de lichaamsdelen worden uitgedrukt in het percentage 9 en veelvouden hiervan. Deze ’regel van negen’ is voor kinderen niet bruikbaar omdat de lichaamsverhoudingen van een kind en een volwassene verschillen. Voor kinderen zijn per leeftijdsgroep aparte tabellen ontwikkeld om de uitgebreidheid van een brandwond vast te stellen. Een andere mogelijkheid is de uitgebreidheid te meten met het handoppervlak van de patiënt. De oppervlakte van een hand van de patiënt (met aaneengesloten vingers) komt overeen met ± 1% van het lichaamsoppervlak. 
(Bron: Brandwonden genezen. Hoe verder?)</t>
  </si>
  <si>
    <t>BrandwondSoort</t>
  </si>
  <si>
    <t>E: BurnType</t>
  </si>
  <si>
    <t>NL-CM:19.4.9</t>
  </si>
  <si>
    <t>Aanduiding van de soort brandwond, verbijzonderd naar oorzaak.</t>
  </si>
  <si>
    <t>NL-CM:19.4.4</t>
  </si>
  <si>
    <t>Localisatie op het lichaam waar de brandwond zich bevindt.</t>
  </si>
  <si>
    <t>SNOMED CT: 363698007 Finding site</t>
  </si>
  <si>
    <t>NL-CM:19.4.10</t>
  </si>
  <si>
    <t>Dieptegraad</t>
  </si>
  <si>
    <t>NL-CM:19.4.2</t>
  </si>
  <si>
    <t>Beschrijving van de ernst van de brandwond, oplopend van graad 1 tot en met 3.</t>
  </si>
  <si>
    <t>SNOMED CT:116676008 Associated morphology</t>
  </si>
  <si>
    <t>NL-CM:19.4.5</t>
  </si>
  <si>
    <t>Toelichting over de brandwond.</t>
  </si>
  <si>
    <t>DatumLaatsteVerbandwissel</t>
  </si>
  <si>
    <t>EN: DateOfLastDressingChange</t>
  </si>
  <si>
    <t>NL-CM:19.4.8</t>
  </si>
  <si>
    <t>De datum waarop de laatste verbandwissel heeft plaatsgevonden.</t>
  </si>
  <si>
    <t>ChecklistPijnGedrag</t>
  </si>
  <si>
    <t>ChecklistPijngedrag-v1.0(2017NL)</t>
  </si>
  <si>
    <t>EN: ChecklistPainBehaviour</t>
  </si>
  <si>
    <t>NL-CM:12.17.1</t>
  </si>
  <si>
    <t>Rootconcept van de bouwsteen ChecklistPijngedrag. Dit rootconcept bevat alle gegevenselementen van de bouwsteen ChecklistPijngedrag.</t>
  </si>
  <si>
    <t>NL-CM:12.17.2</t>
  </si>
  <si>
    <t>De totaalscore is de optelsom van de deelscores. Het bereik van de totaalscore is 0 tot 10.</t>
  </si>
  <si>
    <t>Gezicht</t>
  </si>
  <si>
    <t>EN: Face</t>
  </si>
  <si>
    <t>NL-CM:12.17.3</t>
  </si>
  <si>
    <t>Gespannen gezicht: Eén of meer spieren in het gezicht worden aangespannen.</t>
  </si>
  <si>
    <t>Mond</t>
  </si>
  <si>
    <t>EN: Mouth</t>
  </si>
  <si>
    <t>NL-CM:12.17.4</t>
  </si>
  <si>
    <t>Lijn tussen neus en mondhoek dieper: lijn tussen neusvleugels en mondhoek (naso-labiale plooi) ligt dieper dan normaal en is zijwaarts
opgetrokken.</t>
  </si>
  <si>
    <t>Grimas</t>
  </si>
  <si>
    <t>EN: Grimace</t>
  </si>
  <si>
    <t>NL-CM:12.17.5</t>
  </si>
  <si>
    <t>Grimas: het gezamenlijk voorkomen van: gefronste wenkbrauwen; ogen die samen- of dichtgeknepen zijn; een diepere lijn tussen neus en mondhoek; geopende mond.</t>
  </si>
  <si>
    <t>VerdrietigeBlik</t>
  </si>
  <si>
    <t>EN: Looking sad</t>
  </si>
  <si>
    <t>NL-CM:12.17.6</t>
  </si>
  <si>
    <t>Verdrietige blik, bijna in tranen: wenkbrauwen die aan de binnenzijden op- en zijwaarts getrokken zijn; rimpels in het voorhoofd, vooral boven de neusrug; ogen die samengeknepen zijn; mondhoeken die naar beneden zijn getrokken eventueel gecombineerd met een pruillip.</t>
  </si>
  <si>
    <t>Ogen</t>
  </si>
  <si>
    <t>EN: Eyes</t>
  </si>
  <si>
    <t>NL-CM:12.17.7</t>
  </si>
  <si>
    <t>Ogen (bijna) dichtknijpen: het samen- of dichtknijpen van de ogen.
Noot: NIET scoren als aanwezig wanneer het kind knippert met de ogen of als de ogen steeds dicht zijn
zonder te knipperen.</t>
  </si>
  <si>
    <t>Paniek</t>
  </si>
  <si>
    <t>EN: Panic</t>
  </si>
  <si>
    <t>NL-CM:12.17.8</t>
  </si>
  <si>
    <t>Paniekerig, paniekreactie: een extreme vorm van angst die zich uit in willekeurige onrustige lichaamsbewegingen of heftig verzet.
Dit kan samengaan met een angstige blik gekenmerkt door grote wijd geopende ogen en wenkbrauwen
die aan de binnenzijde iets omhoog- en samengetrokken zijn.</t>
  </si>
  <si>
    <t>Kreunen</t>
  </si>
  <si>
    <t>EN: Moaning</t>
  </si>
  <si>
    <t>NL-CM:12.17.9</t>
  </si>
  <si>
    <t>Kreunen, kermen, jammeren: monotoon geluid op klaaglijke toon</t>
  </si>
  <si>
    <t>Huilen</t>
  </si>
  <si>
    <t>EN: Cry</t>
  </si>
  <si>
    <t>NL-CM:12.17.10</t>
  </si>
  <si>
    <t>Huilen, snikken: huilen. Het snikken gaat gepaard met een schokkende ademhaling.</t>
  </si>
  <si>
    <t>Onrustgeluiden</t>
  </si>
  <si>
    <t>EN: SoundsOfRestlessness</t>
  </si>
  <si>
    <t>NL-CM:12.17.11</t>
  </si>
  <si>
    <t>Onrustgeluiden/verbale uitingen: plotselinge of langer aanhoudende intense kreten of verbale uitingen van pijn, zoals ‘au’ of ‘je doet me
zeer’.</t>
  </si>
  <si>
    <t>Tranen</t>
  </si>
  <si>
    <t>EN: Tears</t>
  </si>
  <si>
    <t>NL-CM:12.17.12</t>
  </si>
  <si>
    <t>Tranen: kind produceert traanvocht in minimaal één oog, dus meer dan alleen waterige ogen</t>
  </si>
  <si>
    <t>ScoreDatumTijd</t>
  </si>
  <si>
    <t>EN: ScoreDateTime</t>
  </si>
  <si>
    <t>NL-CM:12.17.13</t>
  </si>
  <si>
    <t>De datum en het tijdstip waarop de CPG score bepaald is.</t>
  </si>
  <si>
    <t>NL-CM:12.17.14</t>
  </si>
  <si>
    <t>Een toelichting op de meting of omstandigheden tijdens de meting.</t>
  </si>
  <si>
    <t>Darmfunctie</t>
  </si>
  <si>
    <t>Darmfunctie-v3.1(2017NL)</t>
  </si>
  <si>
    <t>EN: BowelFunction</t>
  </si>
  <si>
    <t>NL-CM:4.15.1</t>
  </si>
  <si>
    <t>Rootconcept van de bouwsteen Darmfunctie. Dit rootconcept bevat alle gegevenselementen van de bouwsteen Darmfunctie.</t>
  </si>
  <si>
    <t>SNOMED CT: 11198001 Defecation</t>
  </si>
  <si>
    <t>FecesContinentie</t>
  </si>
  <si>
    <t>EN: FecalContinence</t>
  </si>
  <si>
    <t>NL-CM:4.15.2</t>
  </si>
  <si>
    <t>Fecale continentie is de willekeurige controle over de uitscheiding van feces.</t>
  </si>
  <si>
    <t>SNOMED CT:129008009 Bowel control</t>
  </si>
  <si>
    <t>Stoma</t>
  </si>
  <si>
    <t>EN: Stoma</t>
  </si>
  <si>
    <t>NL-CM:4.15.3</t>
  </si>
  <si>
    <t>Stoma beschrijft de aanwezigheid van een een onnatuurlijke, chirurgisch aangelegde opening. Indien hier sprake van is, dient het type stoma ingevuld te worden en kunnen daarnaast de plaatsingsdatum en locatie van het stoma en eventuele stomazakjes en toelichting beschreven worden.</t>
  </si>
  <si>
    <t>Dit is een verwijzing naar het rootconcept van de bouwsteen Stoma.</t>
  </si>
  <si>
    <t>Frequentie</t>
  </si>
  <si>
    <t>EN: Frequency</t>
  </si>
  <si>
    <t>NL-CM:4.15.4</t>
  </si>
  <si>
    <t>De frequentie van defecatie.</t>
  </si>
  <si>
    <t>SNOMED CT: 162098000 Frequency of defecation</t>
  </si>
  <si>
    <t>DefecatieConsistentie</t>
  </si>
  <si>
    <t>EN: DefecationConsistency</t>
  </si>
  <si>
    <t>NL-CM:4.15.9</t>
  </si>
  <si>
    <t>De consistentie van feces geeft de hardheid van ontlasting aan. Bij het bepalen hiervan wordt gebruik gemaakt van de Bristol Stool scale.</t>
  </si>
  <si>
    <t>SNOMED CT: 443172007 Bristol stool form score</t>
  </si>
  <si>
    <t>DefecatieKleur</t>
  </si>
  <si>
    <t>EN: DefecationColor</t>
  </si>
  <si>
    <t>NL-CM:4.15.10</t>
  </si>
  <si>
    <t>De kleur van feces is mogelijk relevant voor het opsporen van onderliggende aandoeningen, zoals een bloeding of galwegaandoening.</t>
  </si>
  <si>
    <t>LOINC: 9397-1 Color of stool</t>
  </si>
  <si>
    <t>Incontinentiemateriaal::MedischHulpmiddel</t>
  </si>
  <si>
    <t>EN: IncontinenceMaterial::MedicalDevice</t>
  </si>
  <si>
    <t>NL-CM:4.15.6</t>
  </si>
  <si>
    <t>Een beschrijving van het gebruikte incontinentiemateriaal.</t>
  </si>
  <si>
    <t>SNOMED CT: 337588003 Incontinence appliance</t>
  </si>
  <si>
    <t>NL-CM:4.15.7</t>
  </si>
  <si>
    <t>Een toelichting op de darmfunctie.</t>
  </si>
  <si>
    <t>DecubitusWond</t>
  </si>
  <si>
    <t>DecubitusWond-v3.2(2017NL)</t>
  </si>
  <si>
    <t>EN: PressureUlcer</t>
  </si>
  <si>
    <t>NL-CM:19.1.1</t>
  </si>
  <si>
    <t>Rootconcept van bouwsteen DecubitusWond. Dit concept bevat alle gegevenselementen van de bouwsteen DecubitusWond.</t>
  </si>
  <si>
    <t>SNOMED CT: 399912005 Pressure ulcer</t>
  </si>
  <si>
    <t>DecubitusCategorie</t>
  </si>
  <si>
    <t>EN: DecubitusCategory</t>
  </si>
  <si>
    <t>NL-CM:19.1.2</t>
  </si>
  <si>
    <t>Beschrijving van de toestand van decubituswond, oplopend van categorie 1 tot en met 4.</t>
  </si>
  <si>
    <t>LOINC: 45780-4 Pressure ulcer stage</t>
  </si>
  <si>
    <t>NL-CM:19.1.3</t>
  </si>
  <si>
    <t>De datum waarop de decubituswond is ontstaan.</t>
  </si>
  <si>
    <t>NL-CM:19.1.4</t>
  </si>
  <si>
    <t>De locatie op het lichaam waar de decubituswond zich bevindt.</t>
  </si>
  <si>
    <t>NL-CM:19.1.13</t>
  </si>
  <si>
    <t>NL-CM:19.1.8</t>
  </si>
  <si>
    <t>De datum waarop het verband de laatste maal verwisseld is.</t>
  </si>
  <si>
    <t>Wondlengte</t>
  </si>
  <si>
    <t>EN: WoundLength</t>
  </si>
  <si>
    <t>NL-CM:19.1.9</t>
  </si>
  <si>
    <t>De lengte van de decubituswond.</t>
  </si>
  <si>
    <t>LOINC: 39126-8 Length of Wound</t>
  </si>
  <si>
    <t>Wondbreedte</t>
  </si>
  <si>
    <t>EN: WoundWidth</t>
  </si>
  <si>
    <t>NL-CM:19.1.10</t>
  </si>
  <si>
    <t>De breedte van de decubituswond.</t>
  </si>
  <si>
    <t>LOINC: 39125-0 Width of Wound</t>
  </si>
  <si>
    <t>Wonddiepte</t>
  </si>
  <si>
    <t>EN: WoundDepth</t>
  </si>
  <si>
    <t>NL-CM:19.1.11</t>
  </si>
  <si>
    <t>De diepte van de decubituswond.</t>
  </si>
  <si>
    <t>LOINC: 39127-6 Depth of Wound</t>
  </si>
  <si>
    <t>WondFoto</t>
  </si>
  <si>
    <t>EN: WoundImage</t>
  </si>
  <si>
    <t>NL-CM:19.1.12</t>
  </si>
  <si>
    <t>Een foto van de decubituswond als visuele informatie.</t>
  </si>
  <si>
    <t>LOINC: 72170-4 Photographic image</t>
  </si>
  <si>
    <t>NL-CM:19.1.5</t>
  </si>
  <si>
    <t>Een toelichting op de decubituswond.</t>
  </si>
  <si>
    <t>DOSScore</t>
  </si>
  <si>
    <t>DOSScore-v1.0(2017NL)</t>
  </si>
  <si>
    <t>EN: DOSScore</t>
  </si>
  <si>
    <t>NL-CM:18.7.1</t>
  </si>
  <si>
    <t>Rootconcept van de bouwsteen DOSScore. Dit rootconcept bevat alle gegevenselementen van de bouwsteen DOSScore.</t>
  </si>
  <si>
    <t>DOSScoreTotaal</t>
  </si>
  <si>
    <t>EN: DOSScoreTotal</t>
  </si>
  <si>
    <t>NL-CM:18.7.3</t>
  </si>
  <si>
    <t>Per dienst wordt een totaal score berekend (minimaal 0 en maximaal 13). De totaal scores van drie diensten (dag, late en nachtdienst) worden opgeteld tot de totaal score van deze dag (minimaal 0 en maximaal 39).
De DOS schaal eindscore wordt berekend door de totaal score van deze dag te delen door 3 (minimaal 0 en maximaal 13).
Een DOS schaal eindscore &lt; 3 betekent dat de patiënt waarschijnlijk niet delirant is. Een DOS schaal eindscore &gt; 3 betekent dat de patiënt waarschijnlijk wel delirant is.</t>
  </si>
  <si>
    <t>Waardebereik: 0-13</t>
  </si>
  <si>
    <t>DOSScoreDatumTijd</t>
  </si>
  <si>
    <t>EN: DOSScoreDateTime</t>
  </si>
  <si>
    <t>NL-CM:18.7.5</t>
  </si>
  <si>
    <t>De datum waarop de DOS score is vastgelegd.</t>
  </si>
  <si>
    <t>ZaktWeg</t>
  </si>
  <si>
    <t>EN: DozesOff</t>
  </si>
  <si>
    <t>NL-CM:18.7.6</t>
  </si>
  <si>
    <t>DOS observatie: patiënt zakt weg tijdens gesprek of bezigheden.
Score:
0: nooit
1: soms-altijd
-: weet niet</t>
  </si>
  <si>
    <t>SnelAfgeleid</t>
  </si>
  <si>
    <t>EN: EasilyDistracted</t>
  </si>
  <si>
    <t>NL-CM:18.7.7</t>
  </si>
  <si>
    <t>DOS observatie: patiënt is snel afgeleid door prikkels uit de omgeving.
Iemand is snel afgeleid door prikkels uit de omgeving wanneer hij/zij verbaal of nonverbaal reageert op geluiden of bewegingen die geen betrekking op hem/haar hebben en die van dien aard zijn dat je geen reactie van hem/haar zou verwachten.
Score:
0: nooit
1: soms-altijd
-: weet niet</t>
  </si>
  <si>
    <t>EN: MaintainsAttention</t>
  </si>
  <si>
    <t>NL-CM:18.7.8</t>
  </si>
  <si>
    <t>DOS observatie: patiënt heeft aandacht voor gesprek of handeling.
Iemand heeft aandacht voor gesprek of handeling als hij /zij verbaal of nonverbaal blijk geeft het gesprek of de handeling te volgen.
Score:
1: nooit
0: soms-altijd
-: weet niet</t>
  </si>
  <si>
    <t>EN: UnfinishedQuestionAnswer</t>
  </si>
  <si>
    <t>NL-CM:18.7.9</t>
  </si>
  <si>
    <t>DOS observatie: patiënt maakt vraag of antwoord niet af.
Score:
0: nooit
1: soms-altijd
-: weet niet</t>
  </si>
  <si>
    <t>EN: AnswersNoFit</t>
  </si>
  <si>
    <t>NL-CM:18.7.10</t>
  </si>
  <si>
    <t>DOS observatie: patiënt geeft antwoorden die niet passen bij de vraag.
Score:
0: nooit
1: soms-altijd
-: weet niet</t>
  </si>
  <si>
    <t>ReageertTraag</t>
  </si>
  <si>
    <t>EN: ReactsSlowly</t>
  </si>
  <si>
    <t>NL-CM:18.7.11</t>
  </si>
  <si>
    <t>DOS observatie: patiënt reageert traag op opdrachten.
Iemand reageert traag op opdrachten wanneer het handelen is vertraagd en/of er momenten van stilte/inactiviteit zijn voordat tot handelen wordt overgegaan.
Score:
0: nooit
1: soms-altijd
-: weet niet</t>
  </si>
  <si>
    <t>DenktErgensAnders</t>
  </si>
  <si>
    <t>EN: ThinksSomewhereElse</t>
  </si>
  <si>
    <t>NL-CM:18.7.12</t>
  </si>
  <si>
    <t>DOS observatie: patiënt denkt ergens anders te zijn.
Iemand denkt ergens anders te zijn als hij/zij in woorden of handelen dit laat blijken.
Score:
0: nooit
1: soms-altijd
-: weet niet</t>
  </si>
  <si>
    <t>BeseftDagdeel</t>
  </si>
  <si>
    <t>EN: KnowsPartDay</t>
  </si>
  <si>
    <t>NL-CM:18.7.13</t>
  </si>
  <si>
    <t>DOS observatie: patiënt beseft wel welk dagdeel het is.
Iemand beseft welk dagdeel het is als hij/zij in woorden of handelen dit laat blijken.
Score:
1: nooit
0: soms-altijd
-: weet niet</t>
  </si>
  <si>
    <t>EN: RemembersRecent</t>
  </si>
  <si>
    <t>NL-CM:18.7.14</t>
  </si>
  <si>
    <t>DOS observatie: patiënt herinnert zich recente gebeurtenis.
Iemand herinnert zich recente gebeurtenissen wanneer hij/zij bijvoorbeeld juist kan vertellen of er bezoek is geweest of wat hij/zij gegeten heeft.
Score:
1: nooit
0: soms-altijd
-: weet niet</t>
  </si>
  <si>
    <t>Rusteloos</t>
  </si>
  <si>
    <t>EN: Restless</t>
  </si>
  <si>
    <t>NL-CM:18.7.15</t>
  </si>
  <si>
    <t>DOS observatie: patiënt is plukkerig, rommelig, rusteloos.
Score:
0: nooit
1: soms-altijd
-: weet niet</t>
  </si>
  <si>
    <t>TrektDraden</t>
  </si>
  <si>
    <t>EN: PullsWires</t>
  </si>
  <si>
    <t>NL-CM:18.7.16</t>
  </si>
  <si>
    <t>DOS observatie: patiënt trekt aan infuus, sonde, catheter, enz.
Score:
0: nooit
1: soms-altijd
-: weet niet</t>
  </si>
  <si>
    <t>SnelGeemotioneerd</t>
  </si>
  <si>
    <t>EN: EasilyEmotional</t>
  </si>
  <si>
    <t>NL-CM:18.7.17</t>
  </si>
  <si>
    <t>DOS observatie: patiënt is snel of plotseling geëmotioneerd.
Iemand is snel of plotseling geëmotioneerd wanneer hij/zij reageert met een heftige emotie zonder aanleiding of wanneer de heftigheid van de emotie niet in overeenstemming lijkt met de aanleiding.
Score:
0: nooit
1: soms-altijd
-: weet niet</t>
  </si>
  <si>
    <t>Hallucinaties</t>
  </si>
  <si>
    <t>EN: Hallucinations</t>
  </si>
  <si>
    <t>NL-CM:18.7.18</t>
  </si>
  <si>
    <t>DOS observatie: patiënt ziet/hoort dingen die er niet zijn.
Iemand ziet/hoort dingen die er niet zijn wanneer hij/zij hiervan verbaal (navragen!) of nonverbaal blijk geeft.
Score:
0: nooit
1: soms-altijd
-: weet niet</t>
  </si>
  <si>
    <t>NL-CM:18.7.2</t>
  </si>
  <si>
    <t>Toelichting op de DOS score.</t>
  </si>
  <si>
    <t>Familieanamnese</t>
  </si>
  <si>
    <t>Familieanamnese-v3.1(2017NL)</t>
  </si>
  <si>
    <t>EN: FamilyHistory</t>
  </si>
  <si>
    <t>NL-CM:6.1.1</t>
  </si>
  <si>
    <t>Rootconcept van de bouwsteen Familieanamnese. Dit rootconcept bevat alle gegevenselementen van de bouwsteen Familieanamnese.</t>
  </si>
  <si>
    <t>Datum</t>
  </si>
  <si>
    <t>EN: Date</t>
  </si>
  <si>
    <t>NL-CM:6.1.2</t>
  </si>
  <si>
    <t>Datum van afname van de familieanamnese. Een vage datum is toegestaan.</t>
  </si>
  <si>
    <t>EN: FamilyMember</t>
  </si>
  <si>
    <t>NL-CM:6.1.3</t>
  </si>
  <si>
    <t>Container van het concept familielid. Deze container bevat alle gegevenselementen van het concept familielid.</t>
  </si>
  <si>
    <t>BiologischeRelatie</t>
  </si>
  <si>
    <t>EN: BiologicalRelationship</t>
  </si>
  <si>
    <t>NL-CM:6.1.4</t>
  </si>
  <si>
    <t>Geeft de biologische relatie van het familielid tot de patiënt.</t>
  </si>
  <si>
    <t>NL-CM:6.1.5</t>
  </si>
  <si>
    <t>Toelichting met, voor de familieanamnese relevante, informatie betreffende het familielid.</t>
  </si>
  <si>
    <t>NL-CM:6.1.10</t>
  </si>
  <si>
    <t>Indicator die aangeeft of het familielid overleden is.</t>
  </si>
  <si>
    <t>LeeftijdBijOverlijden</t>
  </si>
  <si>
    <t>EN: AgeAtDeath</t>
  </si>
  <si>
    <t>NL-CM:6.1.12</t>
  </si>
  <si>
    <t>De leeftijd waarop het familielid overleden is.</t>
  </si>
  <si>
    <t>Aandoening</t>
  </si>
  <si>
    <t>EN: Disorder</t>
  </si>
  <si>
    <t>NL-CM:6.1.6</t>
  </si>
  <si>
    <t>Container van het concept Aandoening. Deze container bevat alle gegevenselementen van het concept Aandoening.</t>
  </si>
  <si>
    <t>NL-CM:6.1.7</t>
  </si>
  <si>
    <t>Het gezondheidsprobleem van het betreffende familielid dat in het kader van de familieanamnese wordt vastgelegd.</t>
  </si>
  <si>
    <t>IsDoodsoorzaak</t>
  </si>
  <si>
    <t>EN: IsCauseOfDeath</t>
  </si>
  <si>
    <t>NL-CM:6.1.9</t>
  </si>
  <si>
    <t>Aanduiding of het beschreven gezondheidsprobleem de doodsoorzaak is van het familielid.</t>
  </si>
  <si>
    <t>Als IsDoodsoorzaak waar is, moet OverlijdensIndicator ook waar zijn of moet Overlijdensdatum ingevuld zijn</t>
  </si>
  <si>
    <t>FLACCpijnScore</t>
  </si>
  <si>
    <t>FLACCpijnScore-v1.0(2017NL)</t>
  </si>
  <si>
    <t>EN: FLACCpainScore</t>
  </si>
  <si>
    <t>NL-CM:12.13.1</t>
  </si>
  <si>
    <t>Rootconcept van de bouwsteen FLACCpijnScore. Dit rootconcept bevat alle gegevenselementen van de bouwsteen FLACCpijnScore.</t>
  </si>
  <si>
    <t>NL-CM:12.13.2</t>
  </si>
  <si>
    <t>NL-CM:12.13.3</t>
  </si>
  <si>
    <t>Observatie Gezicht;
De mate waarin het kind een gespannen gezicht heeft, de aanwezigheid van grimas, gespannen kaken.</t>
  </si>
  <si>
    <t>Benen</t>
  </si>
  <si>
    <t>EN: Legs</t>
  </si>
  <si>
    <t>NL-CM:12.13.4</t>
  </si>
  <si>
    <t>Observatie  benen: mate waarin het kind gespannen houding en onrustige benen heeft.</t>
  </si>
  <si>
    <t>Activiteit</t>
  </si>
  <si>
    <t>EN: Activity</t>
  </si>
  <si>
    <t>NL-CM:12.13.5</t>
  </si>
  <si>
    <t>Observatie activiteit: mate waarin het kind onrustig en beweeglijk is.</t>
  </si>
  <si>
    <t>NL-CM:12.13.6</t>
  </si>
  <si>
    <t>Observatie Huilen: de mate waarin het kind huilt, jammert of schreeuwt/klaagt.</t>
  </si>
  <si>
    <t>Troostbaar</t>
  </si>
  <si>
    <t>EN: Consolability</t>
  </si>
  <si>
    <t>NL-CM:12.13.9</t>
  </si>
  <si>
    <t>Observatie Troostbaar: de mate waarin het kind kan worden getroost</t>
  </si>
  <si>
    <t>NL-CM:12.13.11</t>
  </si>
  <si>
    <t>De datum en het tijdstip waarop de FLACC score bepaald is.</t>
  </si>
  <si>
    <t>NL-CM:12.13.12</t>
  </si>
  <si>
    <t>FunctieHoren</t>
  </si>
  <si>
    <t>FunctieHoren-v3.1(2017NL)</t>
  </si>
  <si>
    <t>EN: HearingFunction</t>
  </si>
  <si>
    <t>NL-CM:4.17.1</t>
  </si>
  <si>
    <t>Rootconcept van de bouwsteen FunctieHoren. Dit concept bevat alle gegevenselementen van de bouwsteen FunctieHoren.</t>
  </si>
  <si>
    <t>HoorFunctie</t>
  </si>
  <si>
    <t>NL-CM:4.17.3</t>
  </si>
  <si>
    <t>Het vermogen om te horen als reactie op prikkels van de (auditieve) hoor-organen.</t>
  </si>
  <si>
    <t>SNOMED CT:47078008 Hearing, function</t>
  </si>
  <si>
    <t>HorenHulpmiddel::MedischHulpmiddel</t>
  </si>
  <si>
    <t>EN: HearingAid::MedicalDevice</t>
  </si>
  <si>
    <t>NL-CM:4.17.4</t>
  </si>
  <si>
    <t>Het medische hulpmiddel dat gebruikt wordt ter ondersteuning van het horen.</t>
  </si>
  <si>
    <t>SNOMED CT: 272182005 Aid to hearing</t>
  </si>
  <si>
    <t>Het type product dat gebruikt wordt om het horen te ondersteunen.</t>
  </si>
  <si>
    <t>HulpmiddelAnatomischeLocatie</t>
  </si>
  <si>
    <t>EN: DeviceAnatomicalLocation</t>
  </si>
  <si>
    <t>De anatomische locatie van het gehoorapparaat, bijvoorbeeld linkeroor.</t>
  </si>
  <si>
    <t>NL-CM:4.17.2</t>
  </si>
  <si>
    <t>Een toelichting op de hoorfunctie.</t>
  </si>
  <si>
    <t>FunctieZien</t>
  </si>
  <si>
    <t>FunctieZien-v3.1(2017NL)</t>
  </si>
  <si>
    <t>EN: VisualFunction</t>
  </si>
  <si>
    <t>NL-CM:4.16.1</t>
  </si>
  <si>
    <t>Rootconcept van de bouwsteen FunctieZien. Dit concept bevat alle gegevenselementen van de bouwsteen FunctieZien.</t>
  </si>
  <si>
    <t>VisueleFunctie</t>
  </si>
  <si>
    <t>NL-CM:4.16.3</t>
  </si>
  <si>
    <t>Het vermogen om te zien als gevolg van reactie op  prikkels van visuele organen.</t>
  </si>
  <si>
    <t>SNOMED CT:281004000 Visual function</t>
  </si>
  <si>
    <t>ZienHulpmiddel::MedischHulpmiddel</t>
  </si>
  <si>
    <t>EN: VisualAid:MedicalDevice</t>
  </si>
  <si>
    <t>NL-CM:4.16.4</t>
  </si>
  <si>
    <t>De medische hulpmiddelen die gebruikt worden ter ondersteuning van de visuele functie.</t>
  </si>
  <si>
    <t>SNOMED CT: 257192006 Aid to vision</t>
  </si>
  <si>
    <t>Het type product dat gebruikt wordt om het zien te ondersteunen.</t>
  </si>
  <si>
    <t>NL-CM:4.16.2</t>
  </si>
  <si>
    <t>Een toelichting op de visuele functie.</t>
  </si>
  <si>
    <t>GezinssituatieKind</t>
  </si>
  <si>
    <t>GezinssituatieKind-v1.1(2017NL)</t>
  </si>
  <si>
    <t>EN: FamilySituationChild</t>
  </si>
  <si>
    <t>NL-CM:7.16.1</t>
  </si>
  <si>
    <t>Rootconcept van de bouwsteen GezinssituatieKind. Dit concept bevat alle gegevenselementen van de bouwsteen GezinssituatieKind.</t>
  </si>
  <si>
    <t>GezinssamenstellingKind</t>
  </si>
  <si>
    <t>EN: FamilyComposition</t>
  </si>
  <si>
    <t>NL-CM:7.16.2</t>
  </si>
  <si>
    <t>De gezinssamenstelling beschrijft de thuissituatie van het kind en de samenlevingsvorm. 
Een gezin kan uit één of meer personen bestaan.</t>
  </si>
  <si>
    <t>SNOMED CT:365481000 Finding of household composition</t>
  </si>
  <si>
    <t>OuderVerzorger::ContactPersoon</t>
  </si>
  <si>
    <t>EN: ParentCarer::ContactPerson</t>
  </si>
  <si>
    <t>NL-CM:7.16.3</t>
  </si>
  <si>
    <t>Persoon die in de betrokken gezinssituatie de rol van verzorger van het kind op zich heeft genomen. Dit kan een ouder zijn of een andere huisgenoot.</t>
  </si>
  <si>
    <t>Kind</t>
  </si>
  <si>
    <t>EN: Child</t>
  </si>
  <si>
    <t>NL-CM:7.16.4</t>
  </si>
  <si>
    <t>Container van het concept Kind. Deze container bevat alle gegevenselementen van het concept Kind.</t>
  </si>
  <si>
    <t>SNOMED CT: 67822003 Child</t>
  </si>
  <si>
    <t>Kind::Contactpersoon</t>
  </si>
  <si>
    <t>EN: ContactPerson</t>
  </si>
  <si>
    <t>NL-CM:7.16.5</t>
  </si>
  <si>
    <t>Kind van het kind dat zorg ontvangt</t>
  </si>
  <si>
    <t>GeboortedatumKind</t>
  </si>
  <si>
    <t>NL-CM:7.16.6</t>
  </si>
  <si>
    <t>De geboortedatum van het kind.</t>
  </si>
  <si>
    <t>AantalBroersEnZussen</t>
  </si>
  <si>
    <t>EN: NumberOfSiblings</t>
  </si>
  <si>
    <t>NL-CM:7.16.7</t>
  </si>
  <si>
    <t>Aantal broers en zussen die het kind heeft, die in hetzelfde gezin woonachtend zijn. Kinderen in deze context zijn biologische en geadopteerde kinderen, stiefkinderen en pleegkinderen.</t>
  </si>
  <si>
    <t>BroerOfZus</t>
  </si>
  <si>
    <t>EN: Sibling</t>
  </si>
  <si>
    <t>NL-CM:7.16.8</t>
  </si>
  <si>
    <t>Container van het concept BroerOfZus. Deze container bevat alle gegevenselementen van het concept BroerOfZus.</t>
  </si>
  <si>
    <t>BroerOfZus::Contactpersoon</t>
  </si>
  <si>
    <t>NL-CM:7.16.9</t>
  </si>
  <si>
    <t>Zus of broer van het kind, die deel uitmaakt van betreffende huishouden. Het betreft niet alleen biologische zussen en broers maar ook half-, stief, -pleeg en adoptief broers en zussen</t>
  </si>
  <si>
    <t>SNOMED CT:375005 Sibling</t>
  </si>
  <si>
    <t>GeboortedatumZusBroer</t>
  </si>
  <si>
    <t>EN: DateOfBirthSibling</t>
  </si>
  <si>
    <t>NL-CM:7.16.10</t>
  </si>
  <si>
    <t>Geboortedatum van de zus of broer.</t>
  </si>
  <si>
    <t>NL-CM:7.16.11</t>
  </si>
  <si>
    <t>Een toelichting op de gezinssituatie.</t>
  </si>
  <si>
    <t>Gezinssituatie</t>
  </si>
  <si>
    <t>Gezinssituatie-v3.0(2017NL)</t>
  </si>
  <si>
    <t>EN: FamilySituation</t>
  </si>
  <si>
    <t>NL-CM:7.13.1</t>
  </si>
  <si>
    <t>Rootconcept van de bouwsteen Gezinssituatie. Dit concept bevat alle gegevenselementen van de bouwsteen Gezinssituatie.</t>
  </si>
  <si>
    <t>NL-CM:7.13.7</t>
  </si>
  <si>
    <t>De burgerlijke staat van de patiënt.</t>
  </si>
  <si>
    <t>Dit is een verwijzing naar het rootconcept van de bouwsteen BurgerlijkeStaat.</t>
  </si>
  <si>
    <t>Gezinssamenstelling</t>
  </si>
  <si>
    <t>NL-CM:7.13.8</t>
  </si>
  <si>
    <t>De gezinssamenstelling beschrijft de thuissituatie van de patiënt en de samenlevingsvorm. 
Een gezin kan uit één of meer personen bestaan.</t>
  </si>
  <si>
    <t>AantalKinderen</t>
  </si>
  <si>
    <t>EN: NumberOfChildren</t>
  </si>
  <si>
    <t>NL-CM:7.13.2</t>
  </si>
  <si>
    <t>Het aantal kinderen dat de patiënt heeft. Kinderen in de context van deze bouwsteen zijn stiefkinderen, pleegkinderen, biologische en geadopteerde kinderen.</t>
  </si>
  <si>
    <t>SNOMED CT: 224118004 Number of offspring</t>
  </si>
  <si>
    <t>AantalKinderenInwonend</t>
  </si>
  <si>
    <t>EN: NumberOfChildrenLivingAtHome</t>
  </si>
  <si>
    <t>NL-CM:7.13.9</t>
  </si>
  <si>
    <t>Het aantal kinderen dat bij de patiënt woont.</t>
  </si>
  <si>
    <t>Zorgtaak</t>
  </si>
  <si>
    <t>EN: CareResponsibility</t>
  </si>
  <si>
    <t>NL-CM:7.13.10</t>
  </si>
  <si>
    <t>De activiteiten die de patiënt verricht in het kader van zorg voor een afhankelijk gezinslid.</t>
  </si>
  <si>
    <t>NL-CM:7.13.3</t>
  </si>
  <si>
    <t>NL-CM:7.13.4</t>
  </si>
  <si>
    <t>LOINC: 21112-8  Birth date</t>
  </si>
  <si>
    <t>Inwonend</t>
  </si>
  <si>
    <t>EN: LivingAtHome</t>
  </si>
  <si>
    <t>NL-CM:7.13.5</t>
  </si>
  <si>
    <t>Een indicator die aangeeft of het kind inwonend is.</t>
  </si>
  <si>
    <t>SNOMED CT: 224525003 Number in household</t>
  </si>
  <si>
    <t>NL-CM:7.13.6</t>
  </si>
  <si>
    <t>GlasgowComaScale</t>
  </si>
  <si>
    <t>GlasgowComaScale-v3.1(2017NL)</t>
  </si>
  <si>
    <t>EN: GlasgowComaScale</t>
  </si>
  <si>
    <t>NL-CM:12.8.1</t>
  </si>
  <si>
    <t>Rootconcept van de bouwsteen GlasgowComaScale. Dit rootconcept bevat alle gegevenselementen van de bouwsteen GlasgowComaScale.</t>
  </si>
  <si>
    <t>LOINC: 35088-4 Glasgow coma scale</t>
  </si>
  <si>
    <t>GlasgowComaScaleDatumTijd</t>
  </si>
  <si>
    <t>EN: GlasgowComaScaleDateTime</t>
  </si>
  <si>
    <t>NL-CM:12.8.8</t>
  </si>
  <si>
    <t>Tijdstip waarop de EMV score werd bepaald.</t>
  </si>
  <si>
    <t>GCS_Eyes</t>
  </si>
  <si>
    <t>EN: GCS_Eyes</t>
  </si>
  <si>
    <t>NL-CM:12.8.2</t>
  </si>
  <si>
    <t>Beste response van de ogen op een stimulus. Het element is verplicht, maar er hoeft geen getalmatige waarde toegekend te zijn. Als er geen waarde is toegekend, dan wordt de reden hiervan vermeld in het concept ConditiesTijdensMeting.</t>
  </si>
  <si>
    <t>SNOMED CT: 281395000 Glasgow coma score eye opening subscore (observable entity)</t>
  </si>
  <si>
    <t>GCS_Motor</t>
  </si>
  <si>
    <t>EN: GCS_Motor</t>
  </si>
  <si>
    <t>NL-CM:12.8.4</t>
  </si>
  <si>
    <t>Beste motorische response op een stimulus. Het element is verplicht, maar er hoeft geen getalmatige waarde toegekend te zijn. Als er geen waarde is toegekend, dan wordt de reden hiervan vermeld in het concept ConditiesTijdensMeting.</t>
  </si>
  <si>
    <t>SNOMED CT: 281396004 Glasgow Coma Score motor response subscore</t>
  </si>
  <si>
    <t>GCS_Verbal</t>
  </si>
  <si>
    <t>EN: GCS_Verbal</t>
  </si>
  <si>
    <t>NL-CM:12.8.6</t>
  </si>
  <si>
    <t>Beste verbale response op een stimulus. Het element is verplicht, maar er hoeft geen getalmatige waarde toegekend te zijn. Als er geen waarde is toegekend, dan wordt de reden hiervan vermeld in het concept ConditiesTijdensMeting.</t>
  </si>
  <si>
    <t>SNOMED CT: 281397008 Glasgow coma score verbal response subscore (observable entity)</t>
  </si>
  <si>
    <t>NL-CM:12.8.10</t>
  </si>
  <si>
    <t>De som van de EMV scores, uitgedrukt als getal in het bereik 3-15. De waarde hoeft niet te worden vastgelegd, omdat deze altijd op grond van de deelscores berekend kan worden, en omdat het vastleggen van het totaal bij een niet goed te bepalen deelscore niet gebruikelijk is.</t>
  </si>
  <si>
    <t>Waardebereik: 3-15</t>
  </si>
  <si>
    <t>ConditiesTijdensMeting</t>
  </si>
  <si>
    <t>EN: ConditionsDuringMeasurement</t>
  </si>
  <si>
    <t>NL-CM:12.8.11</t>
  </si>
  <si>
    <t>Condities tijdens de meting die verhinderen dat een of meer van de subscores bepaald kan worden (niet testbaar), zoals bijvoorbeeld intubatie van het bepalen van GCS_Verbal.</t>
  </si>
  <si>
    <t>NL-CM:12.8.9</t>
  </si>
  <si>
    <t>Opmerking over de (context van de) meting van de EMV score, zoals eventuele problemen of factoren die van invloed kunnen zijn op de interpretatie.</t>
  </si>
  <si>
    <t>Hartfrequentie</t>
  </si>
  <si>
    <t>Hartfrequentie-v3.1(2017NL)</t>
  </si>
  <si>
    <t>EN: HeartRate</t>
  </si>
  <si>
    <t>NL-CM:12.3.1</t>
  </si>
  <si>
    <t>Rootconcept van de bouwsteen Hartfrequentie. Dit rootconcept bevat alle gegevenselementen van de bouwsteen Hartfrequentie.</t>
  </si>
  <si>
    <t>HartfrequentieWaarde</t>
  </si>
  <si>
    <t>EN: HeartRateValue</t>
  </si>
  <si>
    <t>NL-CM:12.3.2</t>
  </si>
  <si>
    <t>De hartfrequentie gemeten als aantal slagen per minuut.</t>
  </si>
  <si>
    <t>LOINC: 8867-4 Heart Rate</t>
  </si>
  <si>
    <t>HartfrequentieDatumTijd</t>
  </si>
  <si>
    <t>EN: HeartRateDateTime</t>
  </si>
  <si>
    <t>NL-CM:12.3.4</t>
  </si>
  <si>
    <t>Datum en tijd van waarneming van de hartfrequentie.</t>
  </si>
  <si>
    <t>HartslagMeetMethode</t>
  </si>
  <si>
    <t>EN: HeartRateMeasurementMethod</t>
  </si>
  <si>
    <t>NL-CM:12.3.6</t>
  </si>
  <si>
    <t>De wijze waarop de hartslag is geteld en geobserveerd.</t>
  </si>
  <si>
    <t>NL-CM:12.3.3</t>
  </si>
  <si>
    <t>Toelichting over eventuele problemen of factoren die van invloed kunnen zijn op de meting. Ook kan hier een nadere beschrijving worden weergegeven.</t>
  </si>
  <si>
    <t>HartslagRegelmatigheid</t>
  </si>
  <si>
    <t>EN: HeartbeatRegularity</t>
  </si>
  <si>
    <t>NL-CM:12.3.5</t>
  </si>
  <si>
    <t>Regelmatigheid van de hartslag test.</t>
  </si>
  <si>
    <t>Huidaandoening</t>
  </si>
  <si>
    <t>Huidaandoening-v3.2(2017NL)</t>
  </si>
  <si>
    <t>EN: SkinDisorder</t>
  </si>
  <si>
    <t>NL-CM:19.3.1</t>
  </si>
  <si>
    <t>Rootconcept van de bouwsteen Huidaandoening. Dit rootconcept bevat alle gegevenselementen van de bouwsteen Huidaandoening.</t>
  </si>
  <si>
    <t>SoortAandoening</t>
  </si>
  <si>
    <t>EN: TypeOfDisorder</t>
  </si>
  <si>
    <t>NL-CM:19.3.2</t>
  </si>
  <si>
    <t>Beschrijving van het type huidaandoening van de patiënt.</t>
  </si>
  <si>
    <t>SNOMED CT: 95320005 Disorder of skin</t>
  </si>
  <si>
    <t>NL-CM:19.3.3</t>
  </si>
  <si>
    <t>De datum waarop de huidaandoening is ontstaan. Dit mag een vage datum zijn, bijv. alleen een jaartal.</t>
  </si>
  <si>
    <t>Oorzaak::Probleem</t>
  </si>
  <si>
    <t>EN: Cause::Problem</t>
  </si>
  <si>
    <t>NL-CM:19.3.7</t>
  </si>
  <si>
    <t>Beschrijving van de oorzaak van het probleem dat ten grondslag ligt aan de huidaandoening.</t>
  </si>
  <si>
    <t>SNOMED CT:47429007 Associated with</t>
  </si>
  <si>
    <t>NL-CM:19.3.4</t>
  </si>
  <si>
    <t>De locatie op het lichaam waar de huidaandoening zich manifesteert.</t>
  </si>
  <si>
    <t>NL-CM:19.3.8</t>
  </si>
  <si>
    <t>NL-CM:19.3.6</t>
  </si>
  <si>
    <t>Een toelichting op de huidaandoening en de verzorging ervan.</t>
  </si>
  <si>
    <t>HulpVanAnderen</t>
  </si>
  <si>
    <t>HulpVanAnderen-v3.0(2017NL)</t>
  </si>
  <si>
    <t>EN: HelpFromOthers</t>
  </si>
  <si>
    <t>NL-CM:3.2.1</t>
  </si>
  <si>
    <t>Rootconcept van bouwsteen HulpVanAnderen. Dit rootconcept bevat alle gegevenselementen van de bouwsteen HulpVanAnderen.</t>
  </si>
  <si>
    <t>SNOMED CT: 243114000 Supportive care</t>
  </si>
  <si>
    <t>Hulpverlener</t>
  </si>
  <si>
    <t>EN: Aid</t>
  </si>
  <si>
    <t>NL-CM:3.2.5</t>
  </si>
  <si>
    <t>Container van het concept Hulpverlener. Deze container bevat alle gegevenselementen van het concept Hulpverlener.
Een hulpverlener kan zijn een professionele zorgverlener zoals verpleegkundigen, zorgenden en helpenden maar ook een mantelzorger of een zorgaanbieder zoals een thuiszorgorganisatie.</t>
  </si>
  <si>
    <t>NL-CM:3.2.6</t>
  </si>
  <si>
    <t>De gegevens van de zorgverlener die betrokken is bij de zorg.</t>
  </si>
  <si>
    <t>Mantelzorger::Contactpersoon</t>
  </si>
  <si>
    <t>EN: Caregiver::Contact</t>
  </si>
  <si>
    <t>NL-CM:3.2.7</t>
  </si>
  <si>
    <t>De gegevens van de mantelzorger die betrokken is bij de ondersteuning van patiënt.</t>
  </si>
  <si>
    <t>NL-CM:3.2.8</t>
  </si>
  <si>
    <t>De gegevens van de organisatie waar de zorgverlener/hulpverlener voor werkt als deze niet als persoon wordt opgegegven.</t>
  </si>
  <si>
    <t>Aard</t>
  </si>
  <si>
    <t>EN: Nature</t>
  </si>
  <si>
    <t>NL-CM:3.2.3</t>
  </si>
  <si>
    <t>De aard van de hulp/ondersteuning die geboden wordt aan de patiënt.</t>
  </si>
  <si>
    <t>NL-CM:3.2.2</t>
  </si>
  <si>
    <t>De frequentie van de geboden ondersteuning, bijvoorbeeld dagelijks/wekelijks.</t>
  </si>
  <si>
    <t>SNOMED CT: 260866001 Pattern of frequency</t>
  </si>
  <si>
    <t>SoortHulp</t>
  </si>
  <si>
    <t>EN: TypeOfHelp</t>
  </si>
  <si>
    <t>NL-CM:3.2.9</t>
  </si>
  <si>
    <t>Het type hulp dat de betrokken persoon biedt.</t>
  </si>
  <si>
    <t>NL-CM:3.2.4</t>
  </si>
  <si>
    <t>Een toelichting op de hulp/ondersteuning die de patiënt ontvangt van anderen.</t>
  </si>
  <si>
    <t>Infuus</t>
  </si>
  <si>
    <t>Infuus-v3.2(2017NL)</t>
  </si>
  <si>
    <t>EN: Infusion</t>
  </si>
  <si>
    <t>NL-CM:10.2.1</t>
  </si>
  <si>
    <t>Rootconcept van de bouwsteen Infuus. Dit rootconcept bevat alle gegevenselementen van de bouwsteen Infuus.</t>
  </si>
  <si>
    <t>SNOMED CT:19923001 Katheter</t>
  </si>
  <si>
    <t>Infuuskatheter::MedischHulpmiddel</t>
  </si>
  <si>
    <t>EN: InfusionCatheter::MedicalDevice</t>
  </si>
  <si>
    <t>NL-CM:10.2.3</t>
  </si>
  <si>
    <t>Infuuskatheter beschrijft de aanwezigheid van een infuuskatheter. Indien hier sprake van is, kunnen naast het type katheter de plaatsingsdatum en insteekopening bij de patiënt beschreven worden. Bovendien biedt het de mogelijkheid om indien gewenst identificerende gegevens van de canule/katheter vast te leggen.</t>
  </si>
  <si>
    <t>SNOMED CT: 424226004 Using device</t>
  </si>
  <si>
    <t>Een beschrijving van het type canule/katheter.</t>
  </si>
  <si>
    <t>NL-CM:10.2.8</t>
  </si>
  <si>
    <t>Een toelichting op het infuus.</t>
  </si>
  <si>
    <t>LumenOfLijn</t>
  </si>
  <si>
    <t>EN: LumenOrLine</t>
  </si>
  <si>
    <t>1..3</t>
  </si>
  <si>
    <t>NL-CM:10.2.10</t>
  </si>
  <si>
    <t>Container van het concept LumenOfLijn. Deze container bevat alle gegevenselementen van het concept LumenOfLijn.
Centrale lijnen kunnen één of meer lumina bevatten, bij een perifeer infuus is er geen sprake van lumina en is er slechts één lijn.</t>
  </si>
  <si>
    <t>LijnStatus</t>
  </si>
  <si>
    <t>EN: LineStatus</t>
  </si>
  <si>
    <t>NL-CM:10.2.9</t>
  </si>
  <si>
    <t>Met lijnstatus kan worden aangegeven of het een lopend infuus is, het afgedopt is, of van een heparineslot voorzien is, etcetera.</t>
  </si>
  <si>
    <t>LumenLocatie</t>
  </si>
  <si>
    <t>EN: LumenLocation</t>
  </si>
  <si>
    <t>NL-CM:10.2.11</t>
  </si>
  <si>
    <t>Bij een centraal veneuze katheter met meerdere lumina geeft LumenLocatie de relatieve positie aan van het lumen ten opzichte van de insteekopening.</t>
  </si>
  <si>
    <t>SlotVloeistof::MedicatieToediening2</t>
  </si>
  <si>
    <t>EN: LockFluid::MedicationAdministration</t>
  </si>
  <si>
    <t>NL-CM:10.2.13</t>
  </si>
  <si>
    <t>De beschrijving van de vloeistof die als antistollingsslot wordt gebruikt, bijvoorbeeld heparine.</t>
  </si>
  <si>
    <t>ToedieningsSysteem</t>
  </si>
  <si>
    <t>EN: AdministeringSystem</t>
  </si>
  <si>
    <t>NL-CM:10.2.7</t>
  </si>
  <si>
    <t>Container van het concept ToedieningsSysteem. Deze container bevat alle gegevenselementen van het concept ToedieningsSysteem.
Het toedieningssysteem bevat het hele systeem waardoor de vloeistof van de infuuszak via de canule/katheter de patiënt inloopt. Eventueel gebruikte driewegkranen/tussenstukjes vallen hier ook onder.</t>
  </si>
  <si>
    <t>InfuusVloeistof::MedicatieToediening2</t>
  </si>
  <si>
    <t>EN: InfusionFluid::MedicationAdministration</t>
  </si>
  <si>
    <t>NL-CM:10.2.2</t>
  </si>
  <si>
    <t>De beschrijving van de vloeistof die toegediend wordt via het infuus en de dosis van de verstrekking, zoals vermeld staat in het medicatievoorschrift.</t>
  </si>
  <si>
    <t>SNOMED CT: 440132002 Parenteral dosage form product</t>
  </si>
  <si>
    <t>Randapparaat::MedischHulpmiddel</t>
  </si>
  <si>
    <t>EN: Peripheral::MedicalDevice</t>
  </si>
  <si>
    <t>NL-CM:10.2.6</t>
  </si>
  <si>
    <t>Een beschrijving van hulpmiddelen die benodigd zijn voor het toedienen van de infuusvloeistof en het toepassen van de katheter, bijvoorbeeld een volumetrische infuuspomp, spuitenpomp en drukzak.</t>
  </si>
  <si>
    <t>SNOMED CT:363710007 Indirect device</t>
  </si>
  <si>
    <t>ToedieningsSysteemToelichting</t>
  </si>
  <si>
    <t>EN: AdministeringSystemComment</t>
  </si>
  <si>
    <t>NL-CM:10.2.12</t>
  </si>
  <si>
    <t>Een toelichting op het toedieningssysteem.</t>
  </si>
  <si>
    <t>LevensovertuigingRC</t>
  </si>
  <si>
    <t>Levensovertuiging-v3.1(2017NL)</t>
  </si>
  <si>
    <t>EN: LifeStanceRC</t>
  </si>
  <si>
    <t>NL-CM:7.5.1</t>
  </si>
  <si>
    <t>Rootconcept van de bouwsteen Levensovertuiging. Dit rootconcept bevat alle gegevenselementen van de bouwsteen Levensovertuiging.</t>
  </si>
  <si>
    <t>Levensovertuiging</t>
  </si>
  <si>
    <t>EN: LifeStance</t>
  </si>
  <si>
    <t>NL-CM:7.5.2</t>
  </si>
  <si>
    <t>De levens- en/of geloofsovertuiging van de patiënt.</t>
  </si>
  <si>
    <t>SNOMED CT: 160538000 Religious affiliation (observable entity)</t>
  </si>
  <si>
    <t>Lichaamstemperatuur</t>
  </si>
  <si>
    <t>Lichaamstemperatuur-v3.1(2017NL)</t>
  </si>
  <si>
    <t>EN: BodyTemperature</t>
  </si>
  <si>
    <t>NL-CM:12.6.1</t>
  </si>
  <si>
    <t>Rootconcept van de bouwsteen Lichaamstemperatuur. Dit rootconcept bevat alle gegevenselementen van de bouwsteen Lichaamstemperatuur.</t>
  </si>
  <si>
    <t>TemperatuurWaarde</t>
  </si>
  <si>
    <t>EN: TemperatureValue</t>
  </si>
  <si>
    <t>NL-CM:12.6.2</t>
  </si>
  <si>
    <t>De lichaamstemperatuur is de temperatuur, gemeten in °C (graden Celsius), die binnen in het menselijk lichaam heerst. Voor een juiste interpretatie van de gemeten waarde, moet de meetmethodiek worden gespecificeerd.</t>
  </si>
  <si>
    <t>LOINC: 8310-5 Body temperature</t>
  </si>
  <si>
    <t>TemperatuurDatumTijd</t>
  </si>
  <si>
    <t>EN: TemperatureDateTime</t>
  </si>
  <si>
    <t>NL-CM:12.6.4</t>
  </si>
  <si>
    <t>Datum en tijd van de meting.</t>
  </si>
  <si>
    <t>NL-CM:12.6.3</t>
  </si>
  <si>
    <t>Opmerkingen of bijzonderheden, die van belang zijn om de meetwaarde te interpreteren.</t>
  </si>
  <si>
    <t>TemperatuurType</t>
  </si>
  <si>
    <t>EN: TemperatureType</t>
  </si>
  <si>
    <t>NL-CM:12.6.5</t>
  </si>
  <si>
    <t>De anatomische plaats waar de lichaamstemperatuur is gemeten.</t>
  </si>
  <si>
    <t>MedicatieToediening</t>
  </si>
  <si>
    <t>MedicatieToediening2-v1.0.1(2017NL)</t>
  </si>
  <si>
    <t>NL-CM:9.13.20928</t>
  </si>
  <si>
    <t>Rootconcept van de bouwsteen MedicatieToediening. Dit rootconcept bevat alle gegevenselementen van de bouwsteen MedicatieToediening.</t>
  </si>
  <si>
    <t>SNOMED CT: 18629005 Administration of drug or medicament</t>
  </si>
  <si>
    <t>ToedieningsProduct::FarmaceutischProduct</t>
  </si>
  <si>
    <t>EN: AdministrationProduct::FarmaceuticalProduct</t>
  </si>
  <si>
    <t>NL-CM:9.13.20929</t>
  </si>
  <si>
    <t>Het ingenomen of toegediende middel. Dit is vrijwel steeds een geneesmiddel. Voedingsmiddelen, bloedproducten, hulp- en verbandmiddelen vallen strikt genomen niet onder de categorie geneesmiddelen, maar kunnen ook worden worden gerapporteerd. 
In principe betreft dit het voorgeschreven product, maar de toediener kan door substitutie het voorgeschreven product vervangen door een equivalent product. Bijv. in plaats van tabletten van 100mg, tabletten van 50mg waarvan er dan twee worden toegediend.</t>
  </si>
  <si>
    <t>Toedieningssnelheid::Bereik</t>
  </si>
  <si>
    <t>EN: AdministeringSpeed::Range</t>
  </si>
  <si>
    <t>NL-CM:9.13.23159</t>
  </si>
  <si>
    <t>Dit is een verwijzing naar het rootconcept van de sub-bouwsteen Bereik.</t>
  </si>
  <si>
    <t>ToedieningsDatumTijd</t>
  </si>
  <si>
    <t>EN: AdministrationDateTime</t>
  </si>
  <si>
    <t>NL-CM:9.13.21193</t>
  </si>
  <si>
    <t>Datum en tijd waarop de toediening heeft plaatsgevonden.</t>
  </si>
  <si>
    <t>AfgesprokenDatumTijd</t>
  </si>
  <si>
    <t>EN: AgreedDateTime</t>
  </si>
  <si>
    <t>NL-CM:9.13.23171</t>
  </si>
  <si>
    <t>Datum en tijd uit de medicatie- of toedieningsafspraak waarop deze toediening betrekking heeft. Omdat er in één medicatie/toedieningsafspraak meerdere tijdstippen kunnen worden aangegeven kan hiermee bij bijvoorbeeld vervroegde toediening of het inhalen van een toediening het afgesproken tijdstip worden achterhaald.</t>
  </si>
  <si>
    <t>ToegediendeHoeveelheid</t>
  </si>
  <si>
    <t>EN: AdministeredAmount</t>
  </si>
  <si>
    <t>NL-CM:9.13.21194</t>
  </si>
  <si>
    <t>Hoeveelheid van het product dat werd toegediend.</t>
  </si>
  <si>
    <t>AfwijkendeToediening</t>
  </si>
  <si>
    <t>EN: DeviatingAdministration</t>
  </si>
  <si>
    <t>NL-CM:9.13.23167</t>
  </si>
  <si>
    <t>Is er een afwijking geweest in de toediening ten opzicht van de medicatie- of toedieningsafspraak? Dit kan een afwijking betreffen in product, tijdstip, hoeveelheid, toedieningsweg of toedieningssnelheid of het in het geheel niet toedienen.</t>
  </si>
  <si>
    <t>NL-CM:9.13.21195</t>
  </si>
  <si>
    <t>De route waarlangs de medicatie wordt toegediend (oraal, nasaal, intraveneus,...).</t>
  </si>
  <si>
    <t>DubbeleControleUitgevoerd</t>
  </si>
  <si>
    <t>EN: DoubleCheckPerformed</t>
  </si>
  <si>
    <t>NL-CM:9.13.23168</t>
  </si>
  <si>
    <t>Is er dubbele controle uitgevoerd voorafgaande aan de toediening? Dit is alleen bij bepaalde medicatie wettelijk verplicht.</t>
  </si>
  <si>
    <t>NL-CM:9.13.23170</t>
  </si>
  <si>
    <t>Medicatiesafspraak waar deze toediening op gebaseerd is.</t>
  </si>
  <si>
    <t>NL-CM:9.13.23237</t>
  </si>
  <si>
    <t>Toedieningsafspraak waar deze toediening op gebaseerd is.</t>
  </si>
  <si>
    <t>Dit is een verwijzing naar het rootconcept van de bouwsteen Toedieningsafspraak.</t>
  </si>
  <si>
    <t>GerelateerdeAfspraak</t>
  </si>
  <si>
    <t>EN: RelatedAgreement</t>
  </si>
  <si>
    <t>NL-CM:9.13.23169</t>
  </si>
  <si>
    <t>Toediener</t>
  </si>
  <si>
    <t>EN: Administrator</t>
  </si>
  <si>
    <t>NL-CM:9.13.21196</t>
  </si>
  <si>
    <t>De container van het concept Toediener. Deze container bevat alle gegevenselementen van de concept Toediener. Het concept beschrijft de persoon die de toediening gerealiseerd heeft. Dit is een professionele toedieningsbevoegde, de patient zelf of de bijvoorbeeld de mantelzorger.</t>
  </si>
  <si>
    <t>Patiënt</t>
  </si>
  <si>
    <t>NL-CM:9.13.23380</t>
  </si>
  <si>
    <t>Wanneer de patiënt zelf de medicatie heeft toegediend wordt dat hier aangegeven. Wanneer de medicatietoediening is gedaan door een zorgverlener of mantelzorger/familielid/etc. wordt respectievelijk de zorgverlener vermeld in het element 'Zorgverlener' of de mantelzorger/familielid/etc. in het element 'Contactpersoon'.</t>
  </si>
  <si>
    <t>Dit is een verwijzing naar het rootconcept van de bouwsteen Patient.</t>
  </si>
  <si>
    <t>NL-CM:9.13.23172</t>
  </si>
  <si>
    <t>Het concept beschrijft de persoon die de toediening gerealiseerd heeft. Dit is een professionele toedieningsbevoegde.</t>
  </si>
  <si>
    <t>Dit is een verwijzing naar de rootconcept van de bouwsteen Zorgverlener.</t>
  </si>
  <si>
    <t>NL-CM:9.13.23355</t>
  </si>
  <si>
    <t>Gegevens van een persoonlijke relatie van de patiënt, die de medicatietoediening heeft gedaan.</t>
  </si>
  <si>
    <t>MedicatieToedieningRedenVanAfwijken</t>
  </si>
  <si>
    <t>EN: MedicationAdministrationReasonForDeviation</t>
  </si>
  <si>
    <t>NL-CM:9.13.23166</t>
  </si>
  <si>
    <t>Reden dat de toediening of inname van een medicament niet of anders is uitgevoerd. Hier kan een tekst of een van de codes gekozen worden.</t>
  </si>
  <si>
    <t>MedicatieToedieningStatus</t>
  </si>
  <si>
    <t>EN: MedicationAdministrationStatus</t>
  </si>
  <si>
    <t>NL-CM:9.13.21191</t>
  </si>
  <si>
    <t>De status van de toediening, als beschijving van het stadium van het toedieningsproces. Voor ondeelbare producten (bijv. tabletten, zetpillen) zijn alleen de status codes ‘completed’ (voltooid) en ‘cancelled’ (niet toegediend) van toepassing. Voor deelbare producten (bijv. infusen) geldt dat de toediening ook ‘suspended’ (onderbroken) en ‘aborted’ (afgebroken) kan zijn.
Bij de vastlegging worden de volgende interpretaties gehanteerd:
-  Actief: Het product wordt toegediend.
-  Onderbroken: De toediening is (tijdelijk) onderbroken , bv. wegens een bijwerking. Later zal besloten worden tot hervatting of stoppen.
-  Afgebroken: De toediening is afgebroken.
-  Voltooid: De toediening is helemaal afgerond.
&lt;ul&gt;
  &lt;li&gt;Niet gestart: De toediening van het product is niet gestart.</t>
  </si>
  <si>
    <t>NL-CM:9.13.21337</t>
  </si>
  <si>
    <t>Opmerkingen met betrekking tot de medicatie toediening.</t>
  </si>
  <si>
    <t>Medicatieverstrekking</t>
  </si>
  <si>
    <t>Medicatieverstrekking-v2.0(2017NL)</t>
  </si>
  <si>
    <t>EN: MedicationDispense</t>
  </si>
  <si>
    <t>NL-CM:9.9.20270</t>
  </si>
  <si>
    <t>Rootconcept van de bouwsteen Medicatieverstrekking. Dit rootconcept bevat alle gegevenselementen van de bouwsteen Medicatieverstrekking.</t>
  </si>
  <si>
    <t>NL-CM:9.9.20858</t>
  </si>
  <si>
    <t>De verstrekker is in vrijwel alle gevallen een apotheker. Het kan ook gaan om een webwinkel (online bestelling), een drogisterij of een buitenlandse apotheker.</t>
  </si>
  <si>
    <t>Dit is een verwijzing naar het rootconcept of de bouwsteen Zorgaanbieder.</t>
  </si>
  <si>
    <t>Verstrekkingsverzoek</t>
  </si>
  <si>
    <t>EN: DispenseRequest</t>
  </si>
  <si>
    <t>NL-CM:9.9.22396</t>
  </si>
  <si>
    <t>Relatie naar verstrekkingsverzoek.</t>
  </si>
  <si>
    <t>Dit is een verwijzing naar het rootconcept van de bouwsteen Verstrekkingsverzoek.</t>
  </si>
  <si>
    <t>VerstrektGeneesmiddel::FarmaceutischProduct</t>
  </si>
  <si>
    <t>EN: DispensedMedicine::FarmaceuticalProduct</t>
  </si>
  <si>
    <t>NL-CM:9.9.22259</t>
  </si>
  <si>
    <t>Verstrekt geneesmiddel.</t>
  </si>
  <si>
    <t>MedicatieverstrekkingsDatumTijd</t>
  </si>
  <si>
    <t>EN: MedicationDispenseDateTime</t>
  </si>
  <si>
    <t>NL-CM:9.9.20272</t>
  </si>
  <si>
    <t>Het tijdstip van uitgifte. De datumtijd waarop het geneesmiddel ter hand gesteld wordt. 
Noot: het gaat dus om het tijdstip waarop het geneesmiddel aan de patiënt (of diens toediener/vertegenwoordiger) is uitgegeven en niet om de aanschrijfdatum.</t>
  </si>
  <si>
    <t>AanschrijfDatum</t>
  </si>
  <si>
    <t>EN: RequestDate</t>
  </si>
  <si>
    <t>NL-CM:9.9.2250</t>
  </si>
  <si>
    <t>De aanschrijfdatum is het tijdstip waarop een apotheker een voorgenomen uitgifte vastlegt.</t>
  </si>
  <si>
    <t>Distributievorm</t>
  </si>
  <si>
    <t>EN: DistributionForm</t>
  </si>
  <si>
    <t>NL-CM:9.9.20927</t>
  </si>
  <si>
    <t>Verbruiksduur</t>
  </si>
  <si>
    <t>EN: DurationOfUse</t>
  </si>
  <si>
    <t>NL-CM:9.9.20924</t>
  </si>
  <si>
    <t>De verwachte periode, dat het medicament gebruikt zal worden. De waarde hangt samen met de dosering en de verstrekte hoeveelheid.</t>
  </si>
  <si>
    <t>MedicatieverstrekkingAanvullendeInformatie</t>
  </si>
  <si>
    <t>EN: MedicationDispenseAdditionalInformation</t>
  </si>
  <si>
    <t>NL-CM:9.9.23285</t>
  </si>
  <si>
    <t>Aanvullende informatie bevat bijzonderheden over de invulling van de medicatieverstrekking. Dit kan bijvoorbeeld een reden zijn om af te wijken van het verstrekkingsverzoek.
Vooralsnog wordt deze lijst gebruikt. In een later stadium zal deze lijst vervangen worden door een thesaurus in de G-standaard.</t>
  </si>
  <si>
    <t>VerstrekteHoeveelheid</t>
  </si>
  <si>
    <t>EN: DispensedAmount</t>
  </si>
  <si>
    <t>NL-CM:9.9.20923</t>
  </si>
  <si>
    <t>Afleverlocatie</t>
  </si>
  <si>
    <t>EN: DispenseLocation</t>
  </si>
  <si>
    <t>NL-CM:9.9.20925</t>
  </si>
  <si>
    <t>NL-CM:9.9.22276</t>
  </si>
  <si>
    <t>Opmerkingen met betrekking tot de verstrekking.</t>
  </si>
  <si>
    <t>Mobiliteit</t>
  </si>
  <si>
    <t>Mobiliteit-v3.1(2017NL)</t>
  </si>
  <si>
    <t>NL-CM:4.3.1</t>
  </si>
  <si>
    <t>Rootconcept van de bouwsteen Mobiliteit. Dit concept bevat alle gegevenselementen van de bouwsteen Mobiliteit.</t>
  </si>
  <si>
    <t>SNOMED CT: 301438001 Ability to mobilise</t>
  </si>
  <si>
    <t>Lopen</t>
  </si>
  <si>
    <t>EN: Walking</t>
  </si>
  <si>
    <t>NL-CM:4.3.3</t>
  </si>
  <si>
    <t>Lopen is het zelf bewegen van het lichaam van de ene plaats naar de andere door het stapsgewijs bewegen van de benen, het vermogen om het gewicht te dragen van het lichaam en het kunnen  lopen in langzaam, gematigd tot snel tempo.</t>
  </si>
  <si>
    <t>SNOMED CT:282097004 Ability to walk</t>
  </si>
  <si>
    <t>Traplopen</t>
  </si>
  <si>
    <t>EN: ClimbingStairs</t>
  </si>
  <si>
    <t>NL-CM:4.3.18</t>
  </si>
  <si>
    <t>TrappenLopen geeft een indicatie van de mate waarin de patiënt in staat is zelfstandig de trap op en af te gaan.</t>
  </si>
  <si>
    <t>SNOMED CT:301587001 Ability to manage stairs</t>
  </si>
  <si>
    <t>HoudingVeranderen</t>
  </si>
  <si>
    <t>EN: ChangingPosition</t>
  </si>
  <si>
    <t>NL-CM:4.3.8</t>
  </si>
  <si>
    <t>Het veranderen van houding is het van de ene lichaamshouding in de andere komen en van de ene locatie naar de andere gaan, zoals van een stoel opstaan en op bed gaan liggen, en gaan knielen of hurken en weer opstaan.</t>
  </si>
  <si>
    <t>SNOMED CT: 282869009 Ability to change position</t>
  </si>
  <si>
    <t>HoudingHandhaven</t>
  </si>
  <si>
    <t>EN: MaintainingPosition</t>
  </si>
  <si>
    <t>NL-CM:4.3.12</t>
  </si>
  <si>
    <t>Het handhaven van houding is het, waar nodig, de zelfde lichaamshouding bewaren, zoals blijven zitten of staan.</t>
  </si>
  <si>
    <t>SNOMED CT: 249868004 Ability to maintain position</t>
  </si>
  <si>
    <t>UitvoerenTransfer</t>
  </si>
  <si>
    <t>EN: Transfer</t>
  </si>
  <si>
    <t>NL-CM:4.3.5</t>
  </si>
  <si>
    <t>Het uitvoeren van een transfer is het zich verplaatsen van het ene naar het andere oppervlak, zonder de lichaamshouding te veranderen, zoals bij het glijden over een bank of bij het zich verplaatsen van een bed naar een stoel.</t>
  </si>
  <si>
    <t>SNOMED CT: 364666007 Ability to transfer location</t>
  </si>
  <si>
    <t>NL-CM:4.3.4</t>
  </si>
  <si>
    <t>De beschrijving van hulpmiddelen die bij beperkingen in mobilliteit gebruikt kunnen worden.</t>
  </si>
  <si>
    <t>SNOMED CT: 183135000 Mobility aid</t>
  </si>
  <si>
    <t>NL-CM:4.3.16</t>
  </si>
  <si>
    <t>Toelichting op de mobiliteit.</t>
  </si>
  <si>
    <t>MUSTScore</t>
  </si>
  <si>
    <t>MUSTScore-v3.0(2017NL)</t>
  </si>
  <si>
    <t>EN: MUSTScore</t>
  </si>
  <si>
    <t>NL-CM:4.5.1</t>
  </si>
  <si>
    <t>Rootconcept van de bouwsteen MUSTScore. Dit rootconcept bevat alle gegevenselementen van de bouwsteen MUSTScore.</t>
  </si>
  <si>
    <t>SNOMED CT: 444297006 MUST (Malnutrition universal screening tool) score</t>
  </si>
  <si>
    <t>BMIScore</t>
  </si>
  <si>
    <t>EN: BMIScore</t>
  </si>
  <si>
    <t>NL-CM:4.5.3</t>
  </si>
  <si>
    <t>GewichtsverliesScore</t>
  </si>
  <si>
    <t>EN: WeightLossScore</t>
  </si>
  <si>
    <t>NL-CM:4.5.4</t>
  </si>
  <si>
    <t>Het percentage ongewenst gewichtsverlies in de afgelopen 3-6 maanden.</t>
  </si>
  <si>
    <t>ZiekteScore</t>
  </si>
  <si>
    <t>EN: IllnessScore</t>
  </si>
  <si>
    <t>NL-CM:4.5.5</t>
  </si>
  <si>
    <t>Door ziekte kan voedingsinname verlaagd zijn waardoor er risico bestaat op ondervoeding.
Het concept ZiekteScore wordt gebruikt als indicatie dat de patiënt ernstig ziek is en er sprake is van of kans is op meer dan 5 dagen geen voedselinname.</t>
  </si>
  <si>
    <t>NL-CM:4.5.2</t>
  </si>
  <si>
    <t>De totaalscore is de optelsom van de deelscores. Het bereik van de totaalscore is 0 tot 6.</t>
  </si>
  <si>
    <t>Waardebereik: 0-6</t>
  </si>
  <si>
    <t>MUSTScoreDatumTijd</t>
  </si>
  <si>
    <t>EN: MUSTScoreDateTime</t>
  </si>
  <si>
    <t>NL-CM:4.5.6</t>
  </si>
  <si>
    <t>De datum en het tijdstip waarop de MUST score bepaald is.</t>
  </si>
  <si>
    <t>NL-CM:4.5.7</t>
  </si>
  <si>
    <t>NationaliteitRC</t>
  </si>
  <si>
    <t>Nationaliteit-v3.0(2017NL)</t>
  </si>
  <si>
    <t>EN: NationalityRC</t>
  </si>
  <si>
    <t>NL-CM:7.6.1</t>
  </si>
  <si>
    <t>Rootconcept van de bouwsteen Nationaliteit. Dit concept bevat alle gegevenselementen van de bouwsteen Nationaliteit.</t>
  </si>
  <si>
    <t>Nationaliteit</t>
  </si>
  <si>
    <t>EN: Nationality</t>
  </si>
  <si>
    <t>NL-CM:7.6.3</t>
  </si>
  <si>
    <t>De aanduiding van het land van staatsburgerschap.</t>
  </si>
  <si>
    <t>LOINC: 66476-3  Country of citizenship</t>
  </si>
  <si>
    <t>O2Saturatie</t>
  </si>
  <si>
    <t>O2Saturatie-v3.1(2017NL)</t>
  </si>
  <si>
    <t>EN: O2Saturation</t>
  </si>
  <si>
    <t>NL-CM:12.10.1</t>
  </si>
  <si>
    <t>Rootconcept van de bouwsteen O2Saturatie. Dit rootconcept bevat alle gegevenselementen van de bouwsteen O2Saturatie.</t>
  </si>
  <si>
    <t>SpO2Waarde</t>
  </si>
  <si>
    <t>EN: SpO2Value</t>
  </si>
  <si>
    <t>NL-CM:12.10.2</t>
  </si>
  <si>
    <t>Het element bevat de waarde van de indirect, perifeer gemeten O2-saturatie.
De O2-saturatie geeft in % de mate aan waarin de hemoglobine in het bloed verzadigd is met zuurstof, de ratio van oxy-hemoglobine en hemoglobine.
De meting wordt uitgevoerd op plaatsen waar de huid voldoende licht doorlaat, zoals een vinger, teen of oorlel.</t>
  </si>
  <si>
    <t>LOINC: 59408-5 Oxygen saturation in Arterial blood by Pulse oximetry</t>
  </si>
  <si>
    <t>O2SaturatieDatumTijd</t>
  </si>
  <si>
    <t>EN: O2SaturationDateTime</t>
  </si>
  <si>
    <t>NL-CM:12.10.3</t>
  </si>
  <si>
    <t>Het moment van waarneming van de SpO2.</t>
  </si>
  <si>
    <t>NL-CM:12.10.4</t>
  </si>
  <si>
    <t>Toelichting op de meting van de saturatie.</t>
  </si>
  <si>
    <t>NL-CM:12.10.5</t>
  </si>
  <si>
    <t>Indicatie of de meting gedaan werd in een situatie waar sprake was van extra zuurstof toediening.</t>
  </si>
  <si>
    <t>OntwikkelingKind</t>
  </si>
  <si>
    <t>OntwikkelingKind-v1.1(2017NL)</t>
  </si>
  <si>
    <t>EN: DevelopmentChild</t>
  </si>
  <si>
    <t>NL-CM:4.32.1</t>
  </si>
  <si>
    <t>Rootconcept van de bouwsteen OntwikkelingKind. Dit rootconcept bevat alle gegevenselementen van de bouwsteen OntwikkelingKind.</t>
  </si>
  <si>
    <t>SNOMED CT: 251803000 |Child developmental finding</t>
  </si>
  <si>
    <t>OntwikkelingKindDatumTijd</t>
  </si>
  <si>
    <t>EN: DevelopmentChildDateTime</t>
  </si>
  <si>
    <t>NL-CM:4.32.2</t>
  </si>
  <si>
    <t>De datum en tijdstip waarop de status van de ontwikkeling van het kind zijn geregistreerd.</t>
  </si>
  <si>
    <t>ZindelijkheidUrine</t>
  </si>
  <si>
    <t>EN: ToiletTrainednessUrine</t>
  </si>
  <si>
    <t>NL-CM:4.32.4</t>
  </si>
  <si>
    <t>Mate van zindelijk zijn voor urine.</t>
  </si>
  <si>
    <t>SNOMED CT: 275819003 Bladder control - child</t>
  </si>
  <si>
    <t>ZindelijkheidFeces</t>
  </si>
  <si>
    <t>EN: ToiletTrainednessFeces</t>
  </si>
  <si>
    <t>NL-CM:4.32.5</t>
  </si>
  <si>
    <t>Mate van zindelijk zijn voor feces.</t>
  </si>
  <si>
    <t>SNOMED CT: 275818006 Bowel control - child</t>
  </si>
  <si>
    <t>LeeftijdEersteMenstruatie</t>
  </si>
  <si>
    <t>EN: AgeFirstMenstruation</t>
  </si>
  <si>
    <t>NL-CM:4.32.7</t>
  </si>
  <si>
    <t>De leeftijd van de aanvang van de eerste menstruatie.</t>
  </si>
  <si>
    <t>LOINC: 42798-9 Age at menarche</t>
  </si>
  <si>
    <t>OntwikkelingMotoriek</t>
  </si>
  <si>
    <t>EN: DevelopmentLocomotion</t>
  </si>
  <si>
    <t>NL-CM:4.32.6</t>
  </si>
  <si>
    <t>Mijlpalen voor de ontwikkeling van grove motoriek bij een kind.</t>
  </si>
  <si>
    <t>SNOMED CT: 282716004 Gross motor functions</t>
  </si>
  <si>
    <t>OntwikkelingSociaal</t>
  </si>
  <si>
    <t>EN: DevelopmentSocial</t>
  </si>
  <si>
    <t>NL-CM:4.32.8</t>
  </si>
  <si>
    <t>Mijlpalen voor de sociale ontwikkeling van een kind.</t>
  </si>
  <si>
    <t>SNOMED CT: 225597007 Ability to interact with others</t>
  </si>
  <si>
    <t>OntwikkelingTaal</t>
  </si>
  <si>
    <t>EN: DevelopmentLinguistics</t>
  </si>
  <si>
    <t>NL-CM:4.32.9</t>
  </si>
  <si>
    <t>Mijlpalen voor de taalontwikkeling van een kind.</t>
  </si>
  <si>
    <t>SNOMED CT: 61909002 Speech and language observable</t>
  </si>
  <si>
    <t>OntwikkelingVerstandelijk</t>
  </si>
  <si>
    <t>EN: DevelopmentCognition</t>
  </si>
  <si>
    <t>NL-CM:4.32.10</t>
  </si>
  <si>
    <t>Mijlpalen voor de verstandelijke ontwikkeling van een kind.</t>
  </si>
  <si>
    <t>SNOMED CT: 364644000 Functional observable</t>
  </si>
  <si>
    <t>NL-CM:4.32.3</t>
  </si>
  <si>
    <t>De toelichting op de ontwikkeling van het kind.</t>
  </si>
  <si>
    <t>Opleiding</t>
  </si>
  <si>
    <t>Opleiding-v3.1(2017NL)</t>
  </si>
  <si>
    <t>EN: Education</t>
  </si>
  <si>
    <t>NL-CM:7.10.1</t>
  </si>
  <si>
    <t>Dit is het rootconcept van de bouwsteen Opleiding. Het concept bevat alle gegevenselementen van de bouwsteen Opleiding.</t>
  </si>
  <si>
    <t>Schooltype</t>
  </si>
  <si>
    <t>EN: SchoolType</t>
  </si>
  <si>
    <t>NL-CM:7.10.2</t>
  </si>
  <si>
    <t>Typering van de hoogst genoten opleiding.</t>
  </si>
  <si>
    <t>SNOMED CT: 105421008 educational qualification</t>
  </si>
  <si>
    <t>NL-CM:7.10.3</t>
  </si>
  <si>
    <t>Indien relevant geacht kan middels de toelichting een specificatie van de opleiding (bijv. patient studeert Geneeskunde) worden toegevoegd.</t>
  </si>
  <si>
    <t>part.Adresgegevens-v1.0(2017NL)</t>
  </si>
  <si>
    <t>NL-CM:20.5.1</t>
  </si>
  <si>
    <t>Rootconcept van de subbouwsteen Adresgegevens. Dit rootconcept bevat alle gegevenselementen van de subbouwsteen Adresgegevens.</t>
  </si>
  <si>
    <t>Straat</t>
  </si>
  <si>
    <t>EN: Street</t>
  </si>
  <si>
    <t>NL-CM:20.5.2</t>
  </si>
  <si>
    <t>Straatnaam van het adres.</t>
  </si>
  <si>
    <t>Huisnummer</t>
  </si>
  <si>
    <t>EN: HouseNumber</t>
  </si>
  <si>
    <t>NL-CM:20.5.12</t>
  </si>
  <si>
    <t>Huisnummer van het adres.</t>
  </si>
  <si>
    <t>Huisnummerletter</t>
  </si>
  <si>
    <t>EN: HouseNumberLetter</t>
  </si>
  <si>
    <t>NL-CM:20.5.11</t>
  </si>
  <si>
    <t>Een alfabetisch teken achter het huisnummer zoals dit door het gemeentebestuur is toegekend.</t>
  </si>
  <si>
    <t>Huisnummertoevoeging</t>
  </si>
  <si>
    <t>EN: HouseNumberAddition</t>
  </si>
  <si>
    <t>NL-CM:20.5.10</t>
  </si>
  <si>
    <t>Die letters of tekens die noodzakelijk zijn om, naast het huisnummer en de letter, de brievenbus te vinden.</t>
  </si>
  <si>
    <t>AanduidingBijNummer</t>
  </si>
  <si>
    <t>EN: HouseNumberIndication</t>
  </si>
  <si>
    <t>NL-CM:20.5.9</t>
  </si>
  <si>
    <t>De aanduiding die wordt gebruikt voor adressen die niet zijn voorzien van de gebruikelijke straatnaam en huisnummeraanduidingen.</t>
  </si>
  <si>
    <t>Postcode</t>
  </si>
  <si>
    <t>EN: Postcode</t>
  </si>
  <si>
    <t>NL-CM:20.5.6</t>
  </si>
  <si>
    <t>Postcode van het adres.
Bij Nederlandse adressen bij voorkeur de postcode uit de Postcodetabel (OID: 2.16.840.1.113883.2.4.4.15) gebruiken.</t>
  </si>
  <si>
    <t>Woonplaats</t>
  </si>
  <si>
    <t>EN: PlaceOfResidence</t>
  </si>
  <si>
    <t>NL-CM:20.5.3</t>
  </si>
  <si>
    <t>Een geografisch bepaald gebied dat een deel is van het gemeentelijke grondgebied.
Bij Nederlandse woonplaatsen bij voorkeur de naam uit de GBA tabel 33 (OID: 2.16.840.1.113883.2.4.6.14) gebruiken.</t>
  </si>
  <si>
    <t>Gemeente</t>
  </si>
  <si>
    <t>EN: Municipality</t>
  </si>
  <si>
    <t>NL-CM:20.5.4</t>
  </si>
  <si>
    <t>Gemeente van inschrijving. 
Bij Nederlandse gemeenten bij voorkeur de naam uit de GBA tabel 33 (OID: 2.16.840.1.113883.2.4.6.14) gebruiken.</t>
  </si>
  <si>
    <t>Land</t>
  </si>
  <si>
    <t>EN: Country</t>
  </si>
  <si>
    <t>NL-CM:20.5.5</t>
  </si>
  <si>
    <t>Land waar het adres zich bevindt.</t>
  </si>
  <si>
    <t>AdditioneleInformatie</t>
  </si>
  <si>
    <t>EN: AdditionalInformation</t>
  </si>
  <si>
    <t>NL-CM:20.5.7</t>
  </si>
  <si>
    <t>Extra informatie zoals naam van het gebouw, gebouwnummer, ingang, routenummer.</t>
  </si>
  <si>
    <t>AdresSoort</t>
  </si>
  <si>
    <t>EN: AddressType</t>
  </si>
  <si>
    <t>NL-CM:20.5.8</t>
  </si>
  <si>
    <t>Het soort adres waarvan sprake is, bijv. woonadres, postadres.</t>
  </si>
  <si>
    <t>ZIBRoot</t>
  </si>
  <si>
    <t>part.BasisElementen-v1.0(2017NL)</t>
  </si>
  <si>
    <t>EN: HCIMRoot</t>
  </si>
  <si>
    <t>NL-CM:0.0.1</t>
  </si>
  <si>
    <t>Rootconcept van de betreffende bouwsteen.</t>
  </si>
  <si>
    <t>EN:IdentificationNumber</t>
  </si>
  <si>
    <t>NL-CM:0.0.6</t>
  </si>
  <si>
    <t>Nummer dat de instantiatie van de bouwsteen wereldwijd uniek identificeerd. Het nummer is samengesteld uit een identificatie van de uitgevende organisatie en een door deze organisatie toegekend uniek nummer.</t>
  </si>
  <si>
    <t>SNOMED CT:396278008 Identification number</t>
  </si>
  <si>
    <t>Informatiebron</t>
  </si>
  <si>
    <t>EN: InformationSource</t>
  </si>
  <si>
    <t>NL-CM:0.0.2</t>
  </si>
  <si>
    <t>Degene die de informatie heeft verschaft en instaat voor de juistheid ervan.
Dit is niet altijd de zorgverlener, maar het kan ook de patiënt zijn of een andere betrokkene zoals bv een ouder, mantelzorger of voogd.
De informatiebron hoeft niet de auteur van de informatie te zijn, die in dezen uitsluitend instrumenteel is t.a.v. de vastlegging.</t>
  </si>
  <si>
    <t>SNOMED CT:385438008 Source of information (attribute)</t>
  </si>
  <si>
    <t>PatientAlsBron::Patient</t>
  </si>
  <si>
    <t>EN: PatientAsInformationSource::Patient</t>
  </si>
  <si>
    <t>NL-CM:0.0.3</t>
  </si>
  <si>
    <t>De patient als bron van de informatie.</t>
  </si>
  <si>
    <t>NL-CM:0.0.4</t>
  </si>
  <si>
    <t>De zorgverlener als bron van de informatie.</t>
  </si>
  <si>
    <t>BetrokkeneAlsBron::Contactpersoon</t>
  </si>
  <si>
    <t>EN: RelatedPersonAsInformationSource::ContactPerson</t>
  </si>
  <si>
    <t>NL-CM:0.0.5</t>
  </si>
  <si>
    <t>De betrokkene (ouder, mantelzorger, ...) als bron van de informatie.</t>
  </si>
  <si>
    <t>Dit is een verwijzing naar het rootconcept van bouwsteen Contactpersoon.</t>
  </si>
  <si>
    <t>Auteur</t>
  </si>
  <si>
    <t>EN: Author</t>
  </si>
  <si>
    <t>NL-CM:0.0.7</t>
  </si>
  <si>
    <t>Degene die de informatie heeft vastgelegd. Afhankelijk van het informatiesysteem waarin de gegevens vastgelegd zijn kan dit zijn de patient, de zorgverlener of andere betrokkene</t>
  </si>
  <si>
    <t>PatientAlsAuteur::Patient</t>
  </si>
  <si>
    <t>EN: PatientAsAuthor::Patient</t>
  </si>
  <si>
    <t>NL-CM:0.0.8</t>
  </si>
  <si>
    <t>De patiënt als auteur van de informatie.</t>
  </si>
  <si>
    <t>ZorgverlenerAlsAuteur::Zorgverlener</t>
  </si>
  <si>
    <t>EN: HealthProfessionalAsAuthor::HealthProfessional</t>
  </si>
  <si>
    <t>NL-CM:0.0.9</t>
  </si>
  <si>
    <t>De zorgverlener als auteur van de informatie.</t>
  </si>
  <si>
    <t>BetrokkeneAlsAuteur::ContactPeroon</t>
  </si>
  <si>
    <t>EN: RelatedPersonAsAuthor::ContactPerson</t>
  </si>
  <si>
    <t>NL-CM:0.0.10</t>
  </si>
  <si>
    <t>De betrokkene (ouder, mantelzorger, ...) als auteur van de informatie.</t>
  </si>
  <si>
    <t>Onderwerp</t>
  </si>
  <si>
    <t>EN: Subject</t>
  </si>
  <si>
    <t>NL-CM:0.0.11</t>
  </si>
  <si>
    <t>Degene op wie de informatie betrekking heeft. Vaak zal dit de patiënt zijn, maar vooral bij kleine kinderen kan het informatie over de ouder of verzorger zijn. Vooral bij de verpleegkundige overdrachten speelt b.v. bekwaamheid en betrokkenheid van mantelzorgers een rol.</t>
  </si>
  <si>
    <t>SNOMED CT:131195008 Subject of information</t>
  </si>
  <si>
    <t>NL-CM:0.0.12</t>
  </si>
  <si>
    <t>De patient als degene over wie de informatie gaat.</t>
  </si>
  <si>
    <t>Betrokkene::Contactpersoon</t>
  </si>
  <si>
    <t>EN: RelatedPersonAsSubject::ContactPerson</t>
  </si>
  <si>
    <t>NL-CM:0.0.13</t>
  </si>
  <si>
    <t>De betrokkene (ouder, mantelzorger, ...) als degene over wie de informatie gaat.</t>
  </si>
  <si>
    <t>DatumTijd</t>
  </si>
  <si>
    <t>EN: DateTime</t>
  </si>
  <si>
    <t>NL-CM:0.0.14</t>
  </si>
  <si>
    <t>Datum en evt. de tijd waarop de gebeurtenis waarop de informatie betrekking heeft plaatsvond.
Dit is de medisch relevante datum en tijd.</t>
  </si>
  <si>
    <t>SNOMED CT:439771001 Date of event</t>
  </si>
  <si>
    <t>Bereik</t>
  </si>
  <si>
    <t>part.Bereik-v1.0(2017NL)</t>
  </si>
  <si>
    <t>minimumWaarde</t>
  </si>
  <si>
    <t>EN: minimumValue</t>
  </si>
  <si>
    <t>NL-CM:20.1.2</t>
  </si>
  <si>
    <t>De minimale waarde van het bereik</t>
  </si>
  <si>
    <t>maximumWaarde</t>
  </si>
  <si>
    <t>EN: maximumValue</t>
  </si>
  <si>
    <t>NL-CM:20.1.3</t>
  </si>
  <si>
    <t>De maximale waarde van het bereik</t>
  </si>
  <si>
    <t>nominaleWaarde</t>
  </si>
  <si>
    <t>EN: nominalValue</t>
  </si>
  <si>
    <t>NL-CM:20.1.4</t>
  </si>
  <si>
    <t>De nominale waarde van de hoeveelheid.  Dit element kan net in combinatie met een minimale en maximale waarde gebruikt worden.</t>
  </si>
  <si>
    <t>Ziektebeleving</t>
  </si>
  <si>
    <t>Ziektebeleving-v3.1(2017NL)</t>
  </si>
  <si>
    <t>EN: IllnessPerception</t>
  </si>
  <si>
    <t>NL-CM:18.5.1</t>
  </si>
  <si>
    <t>Rootconcept van de bouwsteen Ziektebeleving. Dit concept bevat alle gegevenselementen van de bouwsteen Ziektebeleving.</t>
  </si>
  <si>
    <t>SNOMED CT: 363910003 Characteristic of psychosocial functioning</t>
  </si>
  <si>
    <t>ZiekteInzichtVanPatiënt</t>
  </si>
  <si>
    <t>EN: PatientIllnessInsight</t>
  </si>
  <si>
    <t>NL-CM:18.5.3</t>
  </si>
  <si>
    <t>Het ziekte-inzicht van de patiënt beschrijft het besef dat hij een ziekte of gezondheidsprobleem heeft en de betekenis hiervan voor zijn leven.</t>
  </si>
  <si>
    <t>SNOMED CT: 27026000 Insight</t>
  </si>
  <si>
    <t>OmgaanMetZiekteprocesDoorPatiënt</t>
  </si>
  <si>
    <t>EN: CopingWithIllnessByPatient</t>
  </si>
  <si>
    <t>NL-CM:18.5.4</t>
  </si>
  <si>
    <t>De beschrijving hoe patiënt omgaat met het verloop van zijn ziekte of gezondheidsprobleem.</t>
  </si>
  <si>
    <t>SNOMED CT: 364667003 Ability to cope</t>
  </si>
  <si>
    <t>OmgaanMetZiekteprocesDoorNaasten</t>
  </si>
  <si>
    <t>EN: CopingWithIllnessByFamily</t>
  </si>
  <si>
    <t>NL-CM:18.5.5</t>
  </si>
  <si>
    <t>De beschrijving hoe naasten omgaan met het verloop van de ziekte of het gezondheidsprobleem van de patiënt.</t>
  </si>
  <si>
    <t>SNOMED CT: 405199009 Family coping behavior</t>
  </si>
  <si>
    <t>part.Contactgegevens-v1.0(2017NL)</t>
  </si>
  <si>
    <t>NL-CM:20.6.1</t>
  </si>
  <si>
    <t>Rootconcept van de sub-bouwsteen Contactgegevens. Dit rootconcept bevat alle gegevenselementen van de sub-bouwsteen Contactgegevens.</t>
  </si>
  <si>
    <t>Telefoonnummers</t>
  </si>
  <si>
    <t>EN: TelephoneNumbers</t>
  </si>
  <si>
    <t>NL-CM:20.6.2</t>
  </si>
  <si>
    <t>Container van het concept Telefoonnummers. Deze container bevat alle gegevenselementen van het concept Telefoonnummers.</t>
  </si>
  <si>
    <t>Telefoonnummer</t>
  </si>
  <si>
    <t>EN: TelephoneNumber</t>
  </si>
  <si>
    <t>NL-CM:20.6.4</t>
  </si>
  <si>
    <t>Een telefoonnummer van de persoon.</t>
  </si>
  <si>
    <t>TelecomType</t>
  </si>
  <si>
    <t>EN: TelecomType</t>
  </si>
  <si>
    <t>NL-CM:20.6.5</t>
  </si>
  <si>
    <t>Het type netwerk of apparaat waar het telefoonummer aan verbonden is</t>
  </si>
  <si>
    <t>NummerSoort</t>
  </si>
  <si>
    <t>EN: NumberType</t>
  </si>
  <si>
    <t>NL-CM:20.6.6</t>
  </si>
  <si>
    <t>Met NummerSoort kan aangegeven worden of het om een vast, tijdelijk, werk nummer gaat.</t>
  </si>
  <si>
    <t>EmailAdressen</t>
  </si>
  <si>
    <t>EN: EmailAddresses</t>
  </si>
  <si>
    <t>NL-CM:20.6.3</t>
  </si>
  <si>
    <t>Container van het concept EmailAdressen. Deze container bevat alle gegevenselementen van het concept Emailadressen.</t>
  </si>
  <si>
    <t>EmailAdres</t>
  </si>
  <si>
    <t>EN: EmailAddress</t>
  </si>
  <si>
    <t>NL-CM:20.6.7</t>
  </si>
  <si>
    <t>Een e-mailadres van de persoon</t>
  </si>
  <si>
    <t>EmailSoort</t>
  </si>
  <si>
    <t>EN: EmailAddressType</t>
  </si>
  <si>
    <t>NL-CM:20.6.8</t>
  </si>
  <si>
    <t>Met EmailSoort kan aangegeven worden of het om een prive of zakelijk e-mail adres gaat.</t>
  </si>
  <si>
    <t>part.Naamgegevens-v1.0.1(2017NL)</t>
  </si>
  <si>
    <t>NL-CM:20.4.1</t>
  </si>
  <si>
    <t>Rootconcept van de subbouwsteen Naamgegevens. Dit rootconcept bevat alle gegevenselementen van de subbouwsteen Naamgegevens.</t>
  </si>
  <si>
    <t>Voornamen</t>
  </si>
  <si>
    <t>EN: FirstNames</t>
  </si>
  <si>
    <t>NL-CM:20.4.4</t>
  </si>
  <si>
    <t>Officiële voornamen van de persoon.</t>
  </si>
  <si>
    <t>Initialen</t>
  </si>
  <si>
    <t>EN: Initials</t>
  </si>
  <si>
    <t>NL-CM:20.4.5</t>
  </si>
  <si>
    <t>Initialen van de persoon.</t>
  </si>
  <si>
    <t>Roepnaam</t>
  </si>
  <si>
    <t>EN: GivenName</t>
  </si>
  <si>
    <t>NL-CM:20.4.6</t>
  </si>
  <si>
    <t>De naam waarmee de persoon gebruikelijk aangesproken wordt.</t>
  </si>
  <si>
    <t>Naamgebruik</t>
  </si>
  <si>
    <t>EN: NameUsage</t>
  </si>
  <si>
    <t>NL-CM:20.4.7</t>
  </si>
  <si>
    <t>Dit concept  geeft de achternaam of volgorde van achternamen aan waarmee de persoon aangesproken of aangeschreven wil worden.</t>
  </si>
  <si>
    <t>Geslachtsnaam</t>
  </si>
  <si>
    <t>EN: LastName</t>
  </si>
  <si>
    <t>NL-CM:20.4.2</t>
  </si>
  <si>
    <t>Container van het concept Geslachtsnaam. Deze container bevat alle gegevenselementen van het concept Geslachtsnaam</t>
  </si>
  <si>
    <t>Voorvoegsels</t>
  </si>
  <si>
    <t>EN: Prefix</t>
  </si>
  <si>
    <t>NL-CM:20.4.11</t>
  </si>
  <si>
    <t>Bij de eigen achternaam behorende voorvoegsels.</t>
  </si>
  <si>
    <t>Achternaam</t>
  </si>
  <si>
    <t>NL-CM:20.4.10</t>
  </si>
  <si>
    <t>GeslachtsnaamPartner</t>
  </si>
  <si>
    <t>EN: LastNamePartner</t>
  </si>
  <si>
    <t>NL-CM:20.4.3</t>
  </si>
  <si>
    <t>Container van het concept GeslachtsnaamPartner. Deze container bevat alle gegevenselementen van het concept GeslachtsnaamPartner.</t>
  </si>
  <si>
    <t>VoorvoegselsPartner</t>
  </si>
  <si>
    <t>EN: PartnerPrefix</t>
  </si>
  <si>
    <t>NL-CM:20.4.9</t>
  </si>
  <si>
    <t>Bij de achternaam van de partner behorende voorvoegsels</t>
  </si>
  <si>
    <t>AchternaamPartner</t>
  </si>
  <si>
    <t>EN: PartnerLastName</t>
  </si>
  <si>
    <t>NL-CM:20.4.8</t>
  </si>
  <si>
    <t>FarmaceutischProduct</t>
  </si>
  <si>
    <t>part.FarmaceutischProduct-v2.0(2017NL)</t>
  </si>
  <si>
    <t>EN: FarmaceuticalProduct</t>
  </si>
  <si>
    <t>NL-CM:9.7.19926</t>
  </si>
  <si>
    <t>ProductSpecificatie</t>
  </si>
  <si>
    <t>EN: ProductSpecifications</t>
  </si>
  <si>
    <t>NL-CM:9.7.19928</t>
  </si>
  <si>
    <t>De container van het concept ProductSpecificatie. Deze container bevat alle gegevenselementen van de concept ProductSpecificatie.
De productspecificatie is nodig, wanneer de productcode niet volstaat om de werkzame stoffen en de sterkte te achterhalen.</t>
  </si>
  <si>
    <t>FarmaceutischeVorm</t>
  </si>
  <si>
    <t>EN: PharmaceuticalForm</t>
  </si>
  <si>
    <t>NL-CM:9.7.19931</t>
  </si>
  <si>
    <t>De farmaceutische vorm geeft de vorm van een geneesmiddel weer overeenkomstig de toedieningsweg. Voorbeelden zijn: tablet, zetpil, infusievloeistof, zalf. Indien het middel een generieke code uit de G-standaard kent dan is de vorm via de G-standaard bekend. Voor producten zonder code (vrije tekst, magistrale bereiding), kan de toedieningsvorm worden opgegeven.</t>
  </si>
  <si>
    <t>EN: MedicationCode</t>
  </si>
  <si>
    <t>NL-CM:9.7.19927</t>
  </si>
  <si>
    <t>De codering van geneesmiddelen wordt in Nederland ontleend aan de G-standaard (uitgegeven door z-index), die onder regie van de KNMP wordt gevuld.
Het gecodeerde geneesmiddel kan worden uitgedrukt als:
-  GTIN International Article Number
-  KNMP artikelnummer = ATKODE (2.16.840.1.113883.2.4.4.8)
-  Handelsproductcode (HPK)
-  Voorschrijfcode (PRK)
-  Generieke productcode (GPK)
-  Anatomic Therapeutic Classification code (ATC)
-  Stofnaamcode (SNK)
-  Stofnaamcode i.c.m. toedieningsweg (SSK)
-  90.000.000 nummer (eigen code instelling) (OID van instelling)
De GTIN maakt het mogelijk het product incl. de herkomst met een barcode te identificeren.
De ATKODE is het nummer waarmee het artikel in de groothandel aan apotheeksystemen gekoppeld wordt (b.v. een doos met 3 strippen van 10 tabletten).
De HPK is de code voor het handelsproduct (met merknaam) zoals gebruikt per gift/inname (1 pil, 1 puff, 1 ml)
De PRK codeert voor hetzelfde product als de HPK, maar niet gekoppeld aan een fabrikant (geen merknaam, geen kenmerken zoals kleur, geometrische vorm enz.). Deze code maakt het mogelijk om generiek voor te schrijven en toch te definiëren welk handelsproduct genomen kan worden (bv. zak 200ml).
De generieke product code definieert de samenstelling van een product, is voldoende voor vastlegging van het voorschift, maar niet van de bestelling.
De voorschrijfcode (PRK) is ontwikkeld en toegevoegd aan de oudere generieke (GPK) en leverancierspecifieke (HPK, ATKODE) codering om het enerzijds mogelijk te maken, dat een generiek product kan worden doorgegeven zonder een specifiek merk te noemen, maar anderzijds voldoende informatie te bieden om verstrekking door de apotheek te ondersteunen. 
De stofnamecode (SNK) en stofnaamcode in combinatie met toedieningsweg (SSK) kunnen worden gebruikt om nog generieker voor te schrijven.
De GTIN codering wordt ingevoerd om een standaard voor barcodescanning te implementeren en de herkomst van het middel te kunnen traceren.
Het 90.000.000 nummer wordt gebruikt conform landelijke afspraken.</t>
  </si>
  <si>
    <t>ProductNaam</t>
  </si>
  <si>
    <t>EN: Medication</t>
  </si>
  <si>
    <t>NL-CM:9.7.19929</t>
  </si>
  <si>
    <t>Voor geneesmiddelen die in vrije tekst zijn opgegeven is geen code voorhanden, en dient de volledige omschrijving hier vermeld te worden.</t>
  </si>
  <si>
    <t>Omschrijving</t>
  </si>
  <si>
    <t>EN: Description</t>
  </si>
  <si>
    <t>NL-CM:9.7.19784</t>
  </si>
  <si>
    <t>Een tekstuele beschrijving van de medicatiesoort (inclusief relevante kenmerken van de samenstelling en eventueel de bereidingswijze), die alleen gebruikt wordt als geen gecodeerde aanduiding uit de G-Standaard beschikbaar is (magistrale receptuur).</t>
  </si>
  <si>
    <t>Ingredient</t>
  </si>
  <si>
    <t>EN: Ingredient</t>
  </si>
  <si>
    <t>NL-CM:9.7.19932</t>
  </si>
  <si>
    <t>De container van het concept Ingredient. Deze container bevat alle gegevenselementen van de concept Ingredient.
Een product bevat één of meer werkzame stoffen en hulpstoffen. Deze zijn meestal al door de productcode bepaald. Voor magistrale medicatie of door de lokale apotheek samengestelde medicamenten moeten de ingrediënten afzonderlijk worden opgegeven.
De werkzame stoffen spelen een bijzondere rol, omdat deze:
a) bepalend zijn voor de farmacotherapeutische werking van de medicatie en
b) de basis zijn voor aanduiding van de sterkte van de medicatie (bijv. 200 mg).</t>
  </si>
  <si>
    <t>IngredientCode</t>
  </si>
  <si>
    <t>EN: SubstanceCode</t>
  </si>
  <si>
    <t>NL-CM:9.7.19934</t>
  </si>
  <si>
    <t>Werkzame stof of hulpstof. 
Hier kunnen dezelfde codes worden gebruikt als voor de ProductCode (met name voor verdunningen en samenstellingen), maar nu kunnen ook de ATC, SSK en SNK gebruikt worden om een stof aan te duiden (voor het opgeven van ingrediënten van lokaal magistraal bereide producten).
-  GTIN International Article Number
-  KNMP artikelnummerHandelsproductcode (HPK)
-  Voorschrijfcode (PRK)
-  Generieke productcode (GPK)
-  ATC (anatomic therapeutic classification)
-  SSK (stofnaamcode met toedieningsweg)
-  SNK (stofnaamcode)
De ATC is een internationale classificatie van farmaceutische stoffen zonder referentie aan specifieke producten in de markt. De ATC code van een generiek product bevat dan ook geen verwijzing naar dosering, farmaceutische vorm of toedieningsweg, alleen maar naar de ingrediënten (niet de hoeveelheid/concentratie/sterkte).</t>
  </si>
  <si>
    <t>Sterkte</t>
  </si>
  <si>
    <t>EN: Concentration</t>
  </si>
  <si>
    <t>NL-CM:9.7.19933</t>
  </si>
  <si>
    <t>De relatieve hoeveelheid van dit ingrediënt in dit product. 
Berekening van de sterkte = Hoeveelheid ingrediënt ÷ Hoeveelheid product.
Dit kan bijvoorbeeld een concentratie zijn als het geneesmiddel is opgelost in een draagvloeistof.</t>
  </si>
  <si>
    <t>IngredientHoeveelheid</t>
  </si>
  <si>
    <t>EN: IngredientAmount</t>
  </si>
  <si>
    <t>NL-CM:9.7.22277</t>
  </si>
  <si>
    <t>ProductHoeveelheid</t>
  </si>
  <si>
    <t>EN: ProductAmount</t>
  </si>
  <si>
    <t>NL-CM:9.7.22278</t>
  </si>
  <si>
    <t>Zwangerschap</t>
  </si>
  <si>
    <t>Zwangerschap-v3.1(2017NL)</t>
  </si>
  <si>
    <t>EN: Pregnancy</t>
  </si>
  <si>
    <t>NL-CM:7.14.1</t>
  </si>
  <si>
    <t>Rootconcept van de bouwsteen Zwangerschap. Dit concept bevat alle gegevenselementen van de bouwsteen Zwangerschap.</t>
  </si>
  <si>
    <t>SNOMED CT: 364320009 Pregnancy observable</t>
  </si>
  <si>
    <t>Zwanger</t>
  </si>
  <si>
    <t>EN: Pregnant</t>
  </si>
  <si>
    <t>NL-CM:7.14.2</t>
  </si>
  <si>
    <t>Indicator of de patiënt al dan niet zwanger is.</t>
  </si>
  <si>
    <t>SNOMED CT: 77386006 Pregnant</t>
  </si>
  <si>
    <t>ATermeDatum</t>
  </si>
  <si>
    <t>EN: TermDate</t>
  </si>
  <si>
    <t>NL-CM:7.14.3</t>
  </si>
  <si>
    <t>De datum waarop de zwangerschap naar verwachting 40w 0d is (280 dagen). Op meerdere momenten in de zwangerschap kunnen verschillende à terme datum worden gehanteerd.</t>
  </si>
  <si>
    <t>LOINC: 11778-8 Delivery date Estimated</t>
  </si>
  <si>
    <t>DatumLaatsteMenstruatie</t>
  </si>
  <si>
    <t>EN: DateLastMenstruation</t>
  </si>
  <si>
    <t>NL-CM:7.14.8</t>
  </si>
  <si>
    <t>De datum van de aanvang van de laatste menstruatie.</t>
  </si>
  <si>
    <t>SNOMED CT: 21840007 Date of last menstrual period</t>
  </si>
  <si>
    <t>Zwangerschapsduur</t>
  </si>
  <si>
    <t>EN: PregnancyDuration</t>
  </si>
  <si>
    <t>NL-CM:7.14.4</t>
  </si>
  <si>
    <t>Duur van de zwangerschap op het moment van vragen. De duur kan in dagen (d) of weken (wk) opgegeven worden.</t>
  </si>
  <si>
    <t>SNOMED CT: 57036006 Fetal gestational age</t>
  </si>
  <si>
    <t>Graviditeit</t>
  </si>
  <si>
    <t>EN: Gravidity</t>
  </si>
  <si>
    <t>NL-CM:7.14.5</t>
  </si>
  <si>
    <t>Het aantal keren dat de vrouw zwanger is geworden (inclusief deze).</t>
  </si>
  <si>
    <t>LOINC: 11996-6 Pregnancies</t>
  </si>
  <si>
    <t>Pariteit</t>
  </si>
  <si>
    <t>EN: Parity</t>
  </si>
  <si>
    <t>NL-CM:7.14.6</t>
  </si>
  <si>
    <t>Aantal voorafgaande zwangerschappen die eindigden met een partus (&gt;= 16w 0d / 112 dagen).</t>
  </si>
  <si>
    <t>LOINC: 11977-6 Parity</t>
  </si>
  <si>
    <t>NL-CM:7.14.7</t>
  </si>
  <si>
    <t>De toelichting op de zwangerschap.</t>
  </si>
  <si>
    <t>Zorgaanbieder-v3.1.1(2017NL)</t>
  </si>
  <si>
    <t>NL-CM:17.2.1</t>
  </si>
  <si>
    <t>Rootconcept van de bouwsteen Zorgaanbieder. Dit rootconcept bevat alle gegevenselementen van de bouwsteen Zorgaanbieder.</t>
  </si>
  <si>
    <t>ZorgaanbiederIdentificatienummer</t>
  </si>
  <si>
    <t>EN: HealthcareProviderIdentificationNumber</t>
  </si>
  <si>
    <t>NL-CM:17.2.2</t>
  </si>
  <si>
    <t>Identificerend nummer van de organisatie. Voor Nederlandse zorgaanbieders wordt hiervoor, indien mogelijk, het URA nummer of het AGB nummer gebruikt. Afhankelijk van de context zijn ook andere ID's mogelijk. Voor buitenlandse of niet aangesloten zorgaanbieders kan een ander uniek identificerend nummer gebruikt worden. Dit moet vergezeld gaan met de naam en/of code van de uitgevende organisatie.</t>
  </si>
  <si>
    <t>NL-CM:17.2.3</t>
  </si>
  <si>
    <t>Naam van de organisatie. Indien een identificatienummer meegegeven wordt, moet de naam overeenkomen met de naam die bij het identificatienummer hoort.</t>
  </si>
  <si>
    <t>OrganisatieLocatie</t>
  </si>
  <si>
    <t>EN: OrganizationLocation</t>
  </si>
  <si>
    <t>NL-CM:17.2.8</t>
  </si>
  <si>
    <t>Naam van de locatie, indien een zorgorganisatie meer dan één locatie heeft.</t>
  </si>
  <si>
    <t>AfdelingSpecialisme</t>
  </si>
  <si>
    <t>EN: DepartmentSpecialty</t>
  </si>
  <si>
    <t>NL-CM:17.2.7</t>
  </si>
  <si>
    <t>Het specialisme van de betrokken afdeling van de zorgaanbieder. Het afdelingsspecialisme kan gevuld worden indien bij het vermelden van een zorgaanbieder een nadere aanduiding gewenst is. Het betreft hierbij de erkende medische specialismen zoals vermeld in de wet BIG.</t>
  </si>
  <si>
    <t>NL-CM:17.2.6</t>
  </si>
  <si>
    <t>De gegevens noodzakelijk om via telefoon en/of e-mail met de zorgaanbiedende organisatie contact op te nemen.</t>
  </si>
  <si>
    <t>NL-CM:17.2.5</t>
  </si>
  <si>
    <t>Het fysieke adres van de locatie van de zorgaanbieder.</t>
  </si>
  <si>
    <t>Dit is een verwijzing naar het rootconcept in de sub-bouwsteen Adresgegevens</t>
  </si>
  <si>
    <t>OrganisatieType</t>
  </si>
  <si>
    <t>EN: OrganizationType</t>
  </si>
  <si>
    <t>NL-CM:17.2.4</t>
  </si>
  <si>
    <t>De type zorgaanbieder, bijvoorbeeld algemeen ziekenhuis en verpleeghuis. Indien dit veld gevuld is en voor het ZorgaanbiederIdentificatieNummer een AGB code gebruikt wordt dient het type overeen te komen met het type dat impliciet in de AGB code opgenomen is.</t>
  </si>
  <si>
    <t>VermogenTotZichKleden</t>
  </si>
  <si>
    <t>VermogenTotZichKleden-v3.1(2017NL)</t>
  </si>
  <si>
    <t>EN: AbilityToDressOneself</t>
  </si>
  <si>
    <t>NL-CM:4.11.1</t>
  </si>
  <si>
    <t>Rootconcept van de bouwsteen VermogenTotZichKleden. Dit rootconcept bevat alle gegevenselementen van de bouwsteen VermogenTotZichKleden.</t>
  </si>
  <si>
    <t>ZichKleden</t>
  </si>
  <si>
    <t>EN: DressingOneself</t>
  </si>
  <si>
    <t>NL-CM:4.11.2</t>
  </si>
  <si>
    <t>Aan- en uittrekken van (passende) kleding.
In het concept TeKledenLichaamsdeel kan nader aangegeven worden voor welk lichaamsdeel de beperking geldt.</t>
  </si>
  <si>
    <t>SNOMED CT:165235000 Ability to dress</t>
  </si>
  <si>
    <t>TeKledenLichaamsdeel</t>
  </si>
  <si>
    <t>EN: BodyPartToBeDressed</t>
  </si>
  <si>
    <t>NL-CM:4.11.3</t>
  </si>
  <si>
    <t>Het lichaamsdeel of de lichaamsdelen waarvoor ondersteuning bij het zich kleden gewenst/noodzakelijk is.</t>
  </si>
  <si>
    <t>SNOMED CT: 38866009 Body part structure</t>
  </si>
  <si>
    <t>VoedingspatroonZuigeling</t>
  </si>
  <si>
    <t>VoedingspatroonZuigeling-v1.0(2017NL)</t>
  </si>
  <si>
    <t>EN: FeedingPatternInfant</t>
  </si>
  <si>
    <t>NL-CM:4.31.1</t>
  </si>
  <si>
    <t>Rootconcept van de bouwsteen VoedingspatroonZuigeling. Dit rootconcept bevat alle gegevenselementen van de bouwsteen VoedingspatroonZuigeling.</t>
  </si>
  <si>
    <t>VoedingspatroonZuigelingDatumTijd</t>
  </si>
  <si>
    <t>EN: FeedingPatternInfantDateTime</t>
  </si>
  <si>
    <t>NL-CM:4.31.6</t>
  </si>
  <si>
    <t>De datum en tijd waarop de kenmerken van voeding van de zuigeling zijn geregistreerd.</t>
  </si>
  <si>
    <t>VoedingToevoeging</t>
  </si>
  <si>
    <t>EN: FeedingSupplement</t>
  </si>
  <si>
    <t>NL-CM:4.31.7</t>
  </si>
  <si>
    <t>Het is mogelijk om toevoegingen aan borst- en kunstvoeding toe te voegen, zoals johannesbroodpitmeel om de voeding dikker te maken bij reflux van de zuigeling.</t>
  </si>
  <si>
    <t>VoedingFrequentie</t>
  </si>
  <si>
    <t>EN: FeedingFrequency</t>
  </si>
  <si>
    <t>NL-CM:4.31.5</t>
  </si>
  <si>
    <t>Het aantal giften van voeding per 24 uur.</t>
  </si>
  <si>
    <t>SNOMED CT:364653007 Frequency of infant feeding</t>
  </si>
  <si>
    <t>NL-CM:4.31.8</t>
  </si>
  <si>
    <t>De toelichting op de voeding van de zuigeling.</t>
  </si>
  <si>
    <t>NL-CM:4.31.9</t>
  </si>
  <si>
    <t>Dit is een verwijzing naar het rootconcept Voedingsadvies van de bouwsteen Voedingsadvies.</t>
  </si>
  <si>
    <t>Dit is een verwijzing naar het rootconcept van de bouwsteen Voedingsadvies.</t>
  </si>
  <si>
    <t>Voeding</t>
  </si>
  <si>
    <t>NL-CM:4.31.2</t>
  </si>
  <si>
    <t>Container van het concept Voeding. Deze container bevat alle gegevenselementen van het concept Voeding.
Er zijn verschillende combinaties mogelijk:
1) VoedingSoort borstvoeding, VoedingMethode borstvoeding = borst geven op de natuurlijke wijze.
2) VoedingSoort borstvoeding, VoedingMethode flesvoeding = afgekolfte borstvoeding geven per fles.
3) VoedingSoort kunstvoeding, VoedingMethode flesvoeding = fles met kunstvoeding geven.
Vul de container voor elke relevante combinatie in.</t>
  </si>
  <si>
    <t>VoedingSoort</t>
  </si>
  <si>
    <t>EN: FeedingType</t>
  </si>
  <si>
    <t>NL-CM:4.31.3</t>
  </si>
  <si>
    <t>Het soort voeding (borst- of kunstvoeding) wat aan de zuigeling wordt gegeven.</t>
  </si>
  <si>
    <t>VoedingMethode</t>
  </si>
  <si>
    <t>EN: FeedingMethod</t>
  </si>
  <si>
    <t>NL-CM:4.31.4</t>
  </si>
  <si>
    <t>De manier waarop de voeding aan de zuigeling wordt gegeven.</t>
  </si>
  <si>
    <t>VermogenTotUiterlijkeVerzorging</t>
  </si>
  <si>
    <t>VermogenTotUiterlijkeVerzorging-v1.0(2017NL)</t>
  </si>
  <si>
    <t>EN: AbilityToGroome</t>
  </si>
  <si>
    <t>NL-CM:4.33.1</t>
  </si>
  <si>
    <t>Rootconcept van de bouwsteen VermogenTotUiterlijkeVerzorging. Dit rootconcept bevat alle gegevenselementen van de bouwsteen VermogenTotUiterlijkeVerzorging.</t>
  </si>
  <si>
    <t>NL-CM:4.33.2</t>
  </si>
  <si>
    <t>Uiterlijke verzorging omvat het verzorgen van hoofd- en gezichtshaar, zoals het met de kam in model brengen en het scheren en/of trimmen van de gezichtsbeharing; het verzorgen van de huid, zoals het aanbrengen van make-up; het verzorgen van de nagels.</t>
  </si>
  <si>
    <t>SNOMED CT:704434006 Ability to perform personal grooming activity</t>
  </si>
  <si>
    <t>Vochtbalans</t>
  </si>
  <si>
    <t>Vochtbalans-v1.0(2017NL)</t>
  </si>
  <si>
    <t>EN: FluidBalance</t>
  </si>
  <si>
    <t>NL-CM:12.15.1</t>
  </si>
  <si>
    <t>Rootconcept van de bouwsteen Vochtbalans. Dit rootconcept bevat alle gegevenselementen van de bouwsteen Vochtbalans.</t>
  </si>
  <si>
    <t>NL-CM:12.15.6</t>
  </si>
  <si>
    <t>De toelichting op de vochtbalans.</t>
  </si>
  <si>
    <t>VochtTotaalIn</t>
  </si>
  <si>
    <t>EN: FluidTotalIn</t>
  </si>
  <si>
    <t>NL-CM:12.15.4</t>
  </si>
  <si>
    <t>Het totaal aan vochtinname (o.a. per os, infuus, sonde) in mL.</t>
  </si>
  <si>
    <t>SNOMED CT:251852001 Total fluid input</t>
  </si>
  <si>
    <t>VochtTotaalUit</t>
  </si>
  <si>
    <t>EN: FluidTotalOut</t>
  </si>
  <si>
    <t>NL-CM:12.15.5</t>
  </si>
  <si>
    <t>Het totaal aan vochtuitscheiding (o.a. urineproductie, drain, waterdunne ontlasting) in mL.</t>
  </si>
  <si>
    <t>SNOMED CT:251841007 Total fluid output</t>
  </si>
  <si>
    <t>VochtbalansStarttijd</t>
  </si>
  <si>
    <t>EN: FluidBalanceStartTime</t>
  </si>
  <si>
    <t>NL-CM:12.15.2</t>
  </si>
  <si>
    <t>Het tijdstip waarop gestart is met de vochtbalans meting.</t>
  </si>
  <si>
    <t>VochtbalansStoptijd</t>
  </si>
  <si>
    <t>EN: FluidBalanceStopTime</t>
  </si>
  <si>
    <t>NL-CM:12.15.3</t>
  </si>
  <si>
    <t>Het tijdstip waarop gestopt is met de vochtbalans meting.</t>
  </si>
  <si>
    <t>VrijheidsbeperkendeMaatregelen</t>
  </si>
  <si>
    <t>VrijheidsbeperkendeMaatregelen-v3.1(2017NL)</t>
  </si>
  <si>
    <t>EN: FreedomRestrictingMeasures</t>
  </si>
  <si>
    <t>NL-CM:14.3.1</t>
  </si>
  <si>
    <t>Rootconcept van de bouwsteen VrijheidsbeperkendeMaatregelen. Dit concept bevat alle gegevenselementen van de bouwsteen VrijheidsbeperkendeMaatregelen.</t>
  </si>
  <si>
    <t>JuridischeStatus</t>
  </si>
  <si>
    <t>EN: LegalStatus</t>
  </si>
  <si>
    <t>NL-CM:14.3.2</t>
  </si>
  <si>
    <t>De juridische situatie die voor de patiënt van toepassing is gedurende de  interventie. De codering van de juridische status is gebaseerd op de Vektis/AZR codelijst COD232-VEKT Juridische Status.</t>
  </si>
  <si>
    <t>SNOMED CT: 303186005 Legal status of patient</t>
  </si>
  <si>
    <t>Wilsbekwaam</t>
  </si>
  <si>
    <t>EN: LegallyCapable</t>
  </si>
  <si>
    <t>NL-CM:14.3.3</t>
  </si>
  <si>
    <t>Indicator die aangeeft of de patiënt in staat wordt geacht om de gevolgen van een bepaalde handeling, situatie of besluitvorming te overzien.</t>
  </si>
  <si>
    <t>WilsbekwaamToelichting</t>
  </si>
  <si>
    <t>EN: LegallyCapableComment</t>
  </si>
  <si>
    <t>NL-CM:14.3.4</t>
  </si>
  <si>
    <t>Indien de patiënt niet wilsbekwaam is, dient hierover een toelichting gegeven te worden.</t>
  </si>
  <si>
    <t>Interventie</t>
  </si>
  <si>
    <t>EN: Intervention</t>
  </si>
  <si>
    <t>NL-CM:14.3.5</t>
  </si>
  <si>
    <t>Container van het concept Interventie. Deze container bevat alle gegevenselementen van het concept Interventie.</t>
  </si>
  <si>
    <t>SoortInterventie</t>
  </si>
  <si>
    <t>EN: TypeOfIntervention</t>
  </si>
  <si>
    <t>NL-CM:14.3.6</t>
  </si>
  <si>
    <t>Het soort interventie beschrijft de vrijheidsbeperkende maatregelen.</t>
  </si>
  <si>
    <t>SNOMED CT: 225317005 Restriction of movement</t>
  </si>
  <si>
    <t>Toestemming</t>
  </si>
  <si>
    <t>EN: Permission</t>
  </si>
  <si>
    <t>NL-CM:14.3.7</t>
  </si>
  <si>
    <t>De door de patiënt of wettelijke vertegenwoordiger aan de zorgverlener(s) gegeven toestemming voor het uitvoeren van de vrijheidsbeperkende interventie.</t>
  </si>
  <si>
    <t>SNOMED CT: 309370004 Consent status</t>
  </si>
  <si>
    <t>AanvangEpisode</t>
  </si>
  <si>
    <t>EN: StartEpisode</t>
  </si>
  <si>
    <t>NL-CM:14.3.8</t>
  </si>
  <si>
    <t>De datum en tijd waarop de interventie is gestart.</t>
  </si>
  <si>
    <t>EindeEpisode</t>
  </si>
  <si>
    <t>EN: EndOfEpisode</t>
  </si>
  <si>
    <t>NL-CM:14.3.9</t>
  </si>
  <si>
    <t>De datum en tijd waarop de interventie is beëindigd.</t>
  </si>
  <si>
    <t>VermogenTotZelfstandigMedicatiegebruik</t>
  </si>
  <si>
    <t>VermogenTotZelfstandigMedicatiegebruik-v1.0(2017NL)</t>
  </si>
  <si>
    <t>EN: AbilityToManageMedication</t>
  </si>
  <si>
    <t>NL-CM:4.35.1</t>
  </si>
  <si>
    <t>Rootconcept van de bouwsteen VermogenTotZelfstandigMedicatiegebruik. Dit concept bevat alle gegevenselementen van de bouwsteen VermogenTotZelfstandigMedicatiegebruik.</t>
  </si>
  <si>
    <t>ZelfstandigMedicatiegebruik</t>
  </si>
  <si>
    <t>EN: IndependentMedicationUse</t>
  </si>
  <si>
    <t>NL-CM:4.35.2</t>
  </si>
  <si>
    <t>De mate waarin de patiënt zelfstandig in staat is zichzelf om zijn medicatie te beheren en in te nemen.</t>
  </si>
  <si>
    <t>SNOMED CT: 285033005 Ability to manage medication</t>
  </si>
  <si>
    <t>HulpBijToediening::VerpleegkundigeInterventie</t>
  </si>
  <si>
    <t>EN: RequiredAssistance::NursingIntervention</t>
  </si>
  <si>
    <t>NL-CM:4.35.3</t>
  </si>
  <si>
    <t>De verpleegkundige ondersteunig die de patient nodig heeft om de eigen medicijnen te kunnen beheren en gebruiken.</t>
  </si>
  <si>
    <t>Dit is een verwijzing naar het rootconcept van bouwsteen VerpleegkundigeIntervention.</t>
  </si>
  <si>
    <t>Wond</t>
  </si>
  <si>
    <t>Wond-v3.1(2017NL)</t>
  </si>
  <si>
    <t>EN: Wound</t>
  </si>
  <si>
    <t>NL-CM:19.2.1</t>
  </si>
  <si>
    <t>Rootconcept van de bouwsteen Wond. Dit rootconcept bevat alle gegevenselementen van de bouwsteen Wond.</t>
  </si>
  <si>
    <t>WondSoort</t>
  </si>
  <si>
    <t>EN: WoundType</t>
  </si>
  <si>
    <t>NL-CM:19.2.5</t>
  </si>
  <si>
    <t>De beschrijving van het type wond.</t>
  </si>
  <si>
    <t>WondWeefsel</t>
  </si>
  <si>
    <t>EN: WoundTissue</t>
  </si>
  <si>
    <t>NL-CM:19.2.4</t>
  </si>
  <si>
    <t>De beschrijving van het weefsel van de wond. Hierbij kan gebruik worden gemaakt van het WCS-model. Voor oncologische ulcera wordt een andere classificatie gebruikt.</t>
  </si>
  <si>
    <t>WondInfectie</t>
  </si>
  <si>
    <t>EN: WoundInfection</t>
  </si>
  <si>
    <t>NL-CM:19.2.7</t>
  </si>
  <si>
    <t>Indicatie of sprake is van een infectie van de wond.</t>
  </si>
  <si>
    <t>SNOMED CT: 405009004 Infection status</t>
  </si>
  <si>
    <t>WondVochtigheid</t>
  </si>
  <si>
    <t>EN: WoundMoisture</t>
  </si>
  <si>
    <t>NL-CM:19.2.6</t>
  </si>
  <si>
    <t>De beschrijving van de vochtigheid van de wond.</t>
  </si>
  <si>
    <t>SNOMED CT: 298007001 Moistness of wound</t>
  </si>
  <si>
    <t>WondRand</t>
  </si>
  <si>
    <t>EN: WoundEdge</t>
  </si>
  <si>
    <t>NL-CM:19.2.11</t>
  </si>
  <si>
    <t>De beschrijving van de toestand van de randen van de wond.</t>
  </si>
  <si>
    <t>SNOMED CT: 449747006 Wound edge finding</t>
  </si>
  <si>
    <t>NL-CM:19.2.12</t>
  </si>
  <si>
    <t>De lengte van de wond.</t>
  </si>
  <si>
    <t>SNOMED CT: 401238003 Length of wound</t>
  </si>
  <si>
    <t>NL-CM:19.2.13</t>
  </si>
  <si>
    <t>De breedte van de wond.</t>
  </si>
  <si>
    <t>SNOMED CT: 401239006 Width of wound</t>
  </si>
  <si>
    <t>NL-CM:19.2.14</t>
  </si>
  <si>
    <t>De diepte van de wond.</t>
  </si>
  <si>
    <t>SNOMED CT: 425094009 Depth of wound</t>
  </si>
  <si>
    <t>NL-CM:19.2.8</t>
  </si>
  <si>
    <t>De plaats van de wond op het lichaam.</t>
  </si>
  <si>
    <t>NL-CM:19.2.18</t>
  </si>
  <si>
    <t>WondOntstaansdatum</t>
  </si>
  <si>
    <t>EN: WoundDateOfOnset</t>
  </si>
  <si>
    <t>NL-CM:19.2.2</t>
  </si>
  <si>
    <t>De datum waarop de wond is ontstaan.</t>
  </si>
  <si>
    <t>NL-CM:19.2.3</t>
  </si>
  <si>
    <t>De datum van de laatste verbandwissel.</t>
  </si>
  <si>
    <t>Drain::MedischHulpmiddel</t>
  </si>
  <si>
    <t>EN: Drain::MedicalDevice</t>
  </si>
  <si>
    <t>NL-CM:19.2.17</t>
  </si>
  <si>
    <t>Een drain is een hulpmiddel dat geplaatst wordt om bloed en wondvocht uit het wondgebied af te voeren.</t>
  </si>
  <si>
    <t>SNOMED CT: 258646005 Wound drain</t>
  </si>
  <si>
    <t>Type drain dat bij de wond toegepast is.</t>
  </si>
  <si>
    <t>NL-CM:19.2.15</t>
  </si>
  <si>
    <t>Een foto van de wond.</t>
  </si>
  <si>
    <t>NL-CM:19.2.9</t>
  </si>
  <si>
    <t>De toelichting op de wond.</t>
  </si>
  <si>
    <t>VermogenTotVerpleegtechnischeHandelingen</t>
  </si>
  <si>
    <t>VermogenTotVerpleegtechnischeHandelingen-v1.0(2017NL)</t>
  </si>
  <si>
    <t>EN: AbilityToPerformNursingActivities</t>
  </si>
  <si>
    <t>NL-CM:4.34.1</t>
  </si>
  <si>
    <t>Rootconcept van de bouwsteen VermogenTotVerpleegtechnischeHandelingen. Dit rootconcept bevat alle gegevenselementen van de bouwsteen VermogenTotVerpleegtechnischeHandelingen.</t>
  </si>
  <si>
    <t>EN: NursingIntervention</t>
  </si>
  <si>
    <t>NL-CM:4.34.3</t>
  </si>
  <si>
    <t>Specificatie van de verpleegkundige handelingen waar bekwaamheid betrekking op heeft</t>
  </si>
  <si>
    <t>VerrichtenVPKHandeling</t>
  </si>
  <si>
    <t>EN: PerformNursingActivity</t>
  </si>
  <si>
    <t>NL-CM:4.34.2</t>
  </si>
  <si>
    <t>Kwalificatie vanmate van onafhankelijkheid bij de uitvoer van bepaalde (verpleegtechnische) handelingen.</t>
  </si>
  <si>
    <t>SNOMED CT:303074009 Ability to manage personal health care</t>
  </si>
  <si>
    <t>VermogenTotEten</t>
  </si>
  <si>
    <t>VermogenTotEten-v3.1(2017NL)</t>
  </si>
  <si>
    <t>EN: AbilityToEat</t>
  </si>
  <si>
    <t>NL-CM:4.7.1</t>
  </si>
  <si>
    <t>Rootconcept van de bouwsteen VermogenTotEten. Dit concept bevat alle gegevenselementen van de bouwsteen VermogenTotEten.</t>
  </si>
  <si>
    <t>Eten</t>
  </si>
  <si>
    <t>EN: Eating</t>
  </si>
  <si>
    <t>NL-CM:4.7.3</t>
  </si>
  <si>
    <t>Zichzelf voeden: het brengen van voedsel naar de mond en het voeden van zichzelf tot men verzadigd is.</t>
  </si>
  <si>
    <t>SNOMED CT:288883002 Ability to eat</t>
  </si>
  <si>
    <t>EetBeperkingen</t>
  </si>
  <si>
    <t>EN: EatingLimitations</t>
  </si>
  <si>
    <t>NL-CM:4.7.4</t>
  </si>
  <si>
    <t>Eetbeperkingen verbijzonderen de beperkingen ten aanzien van eten.</t>
  </si>
  <si>
    <t>SNOMED CT: 288843005 Eating abilities</t>
  </si>
  <si>
    <t>VerpleegkundigeInterventie-v3.1(2017NL)</t>
  </si>
  <si>
    <t>NL-CM:14.2.1</t>
  </si>
  <si>
    <t>Rootconcept van de bouwsteen VerpleegkundigeInterventie. Dit rootconcept bevat alle gegevenselementen van de bouwsteen VerpleegkundigeInterventie.</t>
  </si>
  <si>
    <t>NL-CM:14.2.2</t>
  </si>
  <si>
    <t>Een verpleegkundige interventie is een behandeling die een verpleegkundige uitvoert op basis van een deskundig oordeel en klinische kennis ten behoeve van een zorgvrager. De interventie is gericht is op een bepaald probleem (diagnose) en met een vooraf vastgesteld zorgresultaat.</t>
  </si>
  <si>
    <t>NL-CM:14.2.6</t>
  </si>
  <si>
    <t>Het verpleegkundig probleem (indicatie) dat ten grondslag ligt aan de interventie.</t>
  </si>
  <si>
    <t>NL-CM:14.2.14</t>
  </si>
  <si>
    <t>De beschrijving van het behandeldoel waar de keuze voor de interventie op gebaseerd is.</t>
  </si>
  <si>
    <t>Dit is een verwijzing naar het rootconcept van de bouwsteen Behandeldoel.</t>
  </si>
  <si>
    <t>VerpleegkundigeActie</t>
  </si>
  <si>
    <t>NL-CM:14.2.9</t>
  </si>
  <si>
    <t>Container van het concept VerpleegkundigeActie. Deze container bevat alle gegevenselementen van het concept VerpleegkundigeActie.</t>
  </si>
  <si>
    <t>SNOMED CT: 9632001 Nursing procedure</t>
  </si>
  <si>
    <t>Interval</t>
  </si>
  <si>
    <t>EN: Interval</t>
  </si>
  <si>
    <t>NL-CM:14.2.3</t>
  </si>
  <si>
    <t>Het interval geeft de tijd tussen de geplande acties weer. 
Bij opgave van een interval ligt de nadruk op de tijd tussen de opeenvolgende acties, bijvoorbeeld bij wondbehandeling. De precieze tijdstippen zijn minder van belang.</t>
  </si>
  <si>
    <t>NL-CM:14.2.4</t>
  </si>
  <si>
    <t>De frequentie beschrijft hoe vaak en over welke periode bepaalde acties uitgevoerd worden, bijvoorbeeld 3 maal daags.</t>
  </si>
  <si>
    <t>NL-CM:14.2.10</t>
  </si>
  <si>
    <t>De beschrijving van verpleegkundige acties die worden uitgevoerd bij verzorging van een patiënt. Een verpleegkundige interventie bestaat uit een verzameling van patiëntgebonden verpleegkundige acties.</t>
  </si>
  <si>
    <t>ActieStartDatumTijd</t>
  </si>
  <si>
    <t>EN: ProcedureStartDateTime</t>
  </si>
  <si>
    <t>NL-CM:14.2.11</t>
  </si>
  <si>
    <t>De startdatum (en eventueel starttijd) van de actie. Het concept biedt de mogelijkheid om het begin van de periode van een reeks van herhalende acties aan te geven.</t>
  </si>
  <si>
    <t>ActieEindDatumTijd</t>
  </si>
  <si>
    <t>EN: ProcedureEndDateTime</t>
  </si>
  <si>
    <t>NL-CM:14.2.12</t>
  </si>
  <si>
    <t>De einddatum (en eventueel eindtijd) van de actie. Het concept biedt de mogelijkheid om het einde van de periode van een reeks van herhalende acties aan te geven.</t>
  </si>
  <si>
    <t>NL-CM:14.2.13</t>
  </si>
  <si>
    <t>De beschrijving van de middelen die gebruikt worden bij de verpleegkundige actie, zoals verbandmiddelen.</t>
  </si>
  <si>
    <t>Instructie</t>
  </si>
  <si>
    <t>EN: Instruction</t>
  </si>
  <si>
    <t>NL-CM:14.2.18</t>
  </si>
  <si>
    <t>Instructie voor het uitvoeren van de verpleegkundige handeling. Dit is met name aan de orde als de handeling door de patient zelf of door een mantelzorger uitgevoerd wordt.</t>
  </si>
  <si>
    <t>EN: Performer</t>
  </si>
  <si>
    <t>NL-CM:14.2.15</t>
  </si>
  <si>
    <t>Degene die de verpleegkundige actie uitvoert.</t>
  </si>
  <si>
    <t>NL-CM:14.2.7</t>
  </si>
  <si>
    <t>De zorgverlener die de verpleegkundige actie uitvoert.</t>
  </si>
  <si>
    <t>Verzorger::ContactPersoon</t>
  </si>
  <si>
    <t>EN: Caregiver::ContactPerson</t>
  </si>
  <si>
    <t>NL-CM:14.2.16</t>
  </si>
  <si>
    <t>De verzorger die de verpleegkundige actie uitvoert.</t>
  </si>
  <si>
    <t>NL-CM:14.2.17</t>
  </si>
  <si>
    <t>Depatient die de verpleegkundige actie uitvoert.</t>
  </si>
  <si>
    <t>NL-CM:14.2.8</t>
  </si>
  <si>
    <t>De zorgverlener die de verpleegkundige interventie heeft aangevraagd. Indien gewenst kan ook alleen het specialisme van de aanvrager opgegeven worden.</t>
  </si>
  <si>
    <t>NL-CM:14.2.5</t>
  </si>
  <si>
    <t>De toelichting op de verpleegkundige interventie.</t>
  </si>
  <si>
    <t>Verstrekkingsverzoek-v1.0.1(2017NL)</t>
  </si>
  <si>
    <t>NL-CM:9.10.19963</t>
  </si>
  <si>
    <t>Het verstrekkingsverzoek is het verzoek van een voorschrijver aan de apotheker, verstrekking(en) te doen aan de patiënt, ter ondersteuning van geldende medicatieafspraken. De voorschrijver verzoekt om een hoeveelheid van een geneesmiddel te verstrekken of voor een verbruiksperiode verstrekking(en) te doen.</t>
  </si>
  <si>
    <t>BeoogdVerstrekker::Zorgaanbieder</t>
  </si>
  <si>
    <t>EN: IntendedSupplier::HealthProfessional</t>
  </si>
  <si>
    <t>NL-CM:9.10.19966</t>
  </si>
  <si>
    <t>De beoogde verstrekker is een apotheker.</t>
  </si>
  <si>
    <t>TeVerstrekkenGeneesmiddel::FarmaceutischProduct</t>
  </si>
  <si>
    <t>EN: MedicineToBeDispensed::FarmaceuticalProduct</t>
  </si>
  <si>
    <t>NL-CM:9.10.22249</t>
  </si>
  <si>
    <t>Te verstrekken geneesmiddel.</t>
  </si>
  <si>
    <t>Dit is een verwijzing naar het rootconcept of de sub-bouwsteen Product.</t>
  </si>
  <si>
    <t>VerstrekkingsverzoekDatum</t>
  </si>
  <si>
    <t>EN: DispenseRequestDate</t>
  </si>
  <si>
    <t>NL-CM:9.10.20060</t>
  </si>
  <si>
    <t>Tijdstip waarop het verstrekkingsverzoek is vastgesteld.</t>
  </si>
  <si>
    <t>Verbruiksperiode::TijdsInterval</t>
  </si>
  <si>
    <t>NL-CM:9.10.20062</t>
  </si>
  <si>
    <t>Gedurende de gefiatteerde verbruiksperiode heeft de apotheker toestemming om verstrekkingen te doen zodat de patiënt voldoende medicatie op voorraad heeft.
De gefiatteerde verbruiksperiode kan in veel gevallen worden beschreven door alleen een einddatum: de gefiatteerde einddatum verbruik.</t>
  </si>
  <si>
    <t>AantalHerhalingen</t>
  </si>
  <si>
    <t>EN: NumberOfRefills</t>
  </si>
  <si>
    <t>NL-CM:9.10.22120</t>
  </si>
  <si>
    <t>Het aantal additionele keren dat verstrekt mag worden ná de eerste verstrekking.  De totaal te verstrekken hoeveelheid is: (Aantal herhalingen + 1) x te verstrekken hoeveelheid.</t>
  </si>
  <si>
    <t>TeVerstrekkenHoeveelheid</t>
  </si>
  <si>
    <t>NL-CM:9.10.19964</t>
  </si>
  <si>
    <t>NL-CM:9.10.20068</t>
  </si>
  <si>
    <t>AanvullendeWensen</t>
  </si>
  <si>
    <t>EN: AdditionalWishes</t>
  </si>
  <si>
    <t>NL-CM:9.10.22759</t>
  </si>
  <si>
    <t>Logistieke en andere aanwijzingen bijvoorbeeld: niet opnemen in GDS, spoed, bewuste afwijking, etc.</t>
  </si>
  <si>
    <t>NL-CM:9.10.22274</t>
  </si>
  <si>
    <t>Toelichting bij verstrekkingsverzoek.
Deze toelichting kan bijvoorbeeld uitleg bevatten waarom een voorschrijver een verstrekkingsverzoek maakt dat afwijkt van wat gebruikelijk is. Bijvoorbeeld een extra verstrekkingsverzoek dat nodig is omdat de patiënt de medicatie is kwijt geraakt.</t>
  </si>
  <si>
    <t>VermogenTotZichWassen</t>
  </si>
  <si>
    <t>VermogenTotZichWassen-v3.1(2017NL)</t>
  </si>
  <si>
    <t>EN: AbilityToWashOneself</t>
  </si>
  <si>
    <t>NL-CM:4.10.1</t>
  </si>
  <si>
    <t>Rootconcept van de bouwsteen VermogenTotZichWassen. Dit rootconcept bevat alle gegevenselementen van de bouwsteen VermogenTotZichWassen.</t>
  </si>
  <si>
    <t>ZichWassen</t>
  </si>
  <si>
    <t>EN: BathingOneself</t>
  </si>
  <si>
    <t>NL-CM:4.10.2</t>
  </si>
  <si>
    <t>Het wassen en afdrogen van het gehele lichaam, of lichaamsdelen, waaronder baden, douchen, wassen van handen en voeten, gezicht en haar.
In het concept TeWassenLichaamsdeel kan nader aangegeven worden voor welk lichaamsdeel de beperking geldt.</t>
  </si>
  <si>
    <t>SNOMED CT:284785009 Ability to wash self</t>
  </si>
  <si>
    <t>TeWassenLichaamsdeel</t>
  </si>
  <si>
    <t>EN: BodyPartToBeBathed</t>
  </si>
  <si>
    <t>NL-CM:4.10.3</t>
  </si>
  <si>
    <t>Het lichaamsdeel of de lichaamsdelen waarvoor ondersteuning bij wassen gewenst/noodzakelijk is.</t>
  </si>
  <si>
    <t>SNOMED CT: 38866009 body part structure</t>
  </si>
  <si>
    <t>VermogenTotToiletgang</t>
  </si>
  <si>
    <t>VermogenTotToiletgang-v3.1(2017NL)</t>
  </si>
  <si>
    <t>EN: ToiletUseAbility</t>
  </si>
  <si>
    <t>NL-CM:4.22.1</t>
  </si>
  <si>
    <t>Rootconcept van de bouwsteen VermogenTotToiletgang. Dit rootconcept bevat alle gegevenselementen van de bouwsteen VermogenTotToiletgang.</t>
  </si>
  <si>
    <t>SNOMED CT:284779002 Ability to perform personal hygiene activity</t>
  </si>
  <si>
    <t>NL-CM:4.22.6</t>
  </si>
  <si>
    <t>Het coördineren en zorg dragen voor urineren of defecatie, zoals door het aangeven van de noodzaak, het in de juiste positie komen, een geschikte plaats vinden en bereiken, het manipuleren van de kleding voor en na, en het zich schoonmaken.</t>
  </si>
  <si>
    <t>SNOMED CT: 284899001 Ability to perform toileting activities</t>
  </si>
  <si>
    <t>ZorgBijMenstruatie</t>
  </si>
  <si>
    <t>EN: MenstrualCare</t>
  </si>
  <si>
    <t>NL-CM:4.22.4</t>
  </si>
  <si>
    <t>Het coördineren, plannen en de verzorging bij de menstruatie, zoals door anticipatie op de menstruatie en het gebruiken van maandverband en tampons.</t>
  </si>
  <si>
    <t>SNOMED CT:284955009 Ability to manage menstrual hygiene</t>
  </si>
  <si>
    <t>VermogenTotDrinken</t>
  </si>
  <si>
    <t>VermogenTotDrinken-v3.1(2017NL)</t>
  </si>
  <si>
    <t>EN: AbilityToDrink</t>
  </si>
  <si>
    <t>NL-CM:4.8.1</t>
  </si>
  <si>
    <t>Rootconcept van de bouwsteen VermogenTotDrinken. Dit concept bevat alle gegevenselementen van de bouwsteen VermogenTotDrinken.</t>
  </si>
  <si>
    <t>Drinken</t>
  </si>
  <si>
    <t>EN: Drinking</t>
  </si>
  <si>
    <t>NL-CM:4.8.3</t>
  </si>
  <si>
    <t>Het innemen van vocht gedurende de dag, bij dorst en gedurende de maaltijd.</t>
  </si>
  <si>
    <t>SNOMED CT:288852001 Ability to drink</t>
  </si>
  <si>
    <t>DrinkBeperkingen</t>
  </si>
  <si>
    <t>EN: DrinkingLimitations</t>
  </si>
  <si>
    <t>NL-CM:4.8.4</t>
  </si>
  <si>
    <t>Drinkbeperkingen verbijzonderen de beperkingen ten aanzien van drinken.</t>
  </si>
  <si>
    <t>SNOMED CT: 288851008 Drinking abilities</t>
  </si>
  <si>
    <t>VermogenTotMondverzorging</t>
  </si>
  <si>
    <t>VermogenTotMondverzorging-v3.1(2017NL)</t>
  </si>
  <si>
    <t>EN: AbilityToPerformMouthcareActivities</t>
  </si>
  <si>
    <t>NL-CM:4.13.1</t>
  </si>
  <si>
    <t>Rootconcept van de bouwsteen VermogenTotMondverzorging. Dit concept bevat alle gegevenselementen van de bouwsteen VermogenTotMondverzorging.</t>
  </si>
  <si>
    <t>VerzorgenTanden</t>
  </si>
  <si>
    <t>EN: DentalHygiene</t>
  </si>
  <si>
    <t>NL-CM:4.13.2</t>
  </si>
  <si>
    <t>Mondhygiëne: het verzorgen van mond en tanden/kiezen of gebitsprothese/ -orthese.</t>
  </si>
  <si>
    <t>SNOMED CT:288470005 Ability to perform mouthcare activities</t>
  </si>
  <si>
    <t>Prothese::MedischHulpmiddel</t>
  </si>
  <si>
    <t>EN: Prosthesis:MedicalDevice</t>
  </si>
  <si>
    <t>NL-CM:4.13.4</t>
  </si>
  <si>
    <t>De gegevens over de door de patiënt gebruikte dentale hulpmiddelen.</t>
  </si>
  <si>
    <t>Een specificatie van het soort hulpmiddelen dat de patient gebruikt, zoals een prothese of orthothese.</t>
  </si>
  <si>
    <t>TekstUitslag-v4.1(2017NL)</t>
  </si>
  <si>
    <t>EN: TextResult</t>
  </si>
  <si>
    <t>NL-CM:13.2.1</t>
  </si>
  <si>
    <t>Rootconcept van de bouwsteen TekstUitslag. Dit rootconcept bevat alle gegevenselementen van de bouwsteen TekstUitslag.</t>
  </si>
  <si>
    <t>TekstUitslagDatumTijd</t>
  </si>
  <si>
    <t>EN: TextResultDateTime</t>
  </si>
  <si>
    <t>NL-CM:13.2.3</t>
  </si>
  <si>
    <t>Datum en eventueel tijdstip van de uitslag. 
Datum waarop de verrichting die in Tekstuitslag documenteert, verricht is.</t>
  </si>
  <si>
    <t>NL-CM:13.2.5</t>
  </si>
  <si>
    <t>Verwijzing naar de bouwsteen Verrichting en daarin ook de verrichtingsdatum, aanvragend en uitvoerend specialisme.</t>
  </si>
  <si>
    <t>SNOMED CT:363714003 Interprets</t>
  </si>
  <si>
    <t>TekstUitslagStatus</t>
  </si>
  <si>
    <t>EN: TextResultStatus</t>
  </si>
  <si>
    <t>NL-CM:13.2.6</t>
  </si>
  <si>
    <t>De status van de uitslag.</t>
  </si>
  <si>
    <t>TekstResultaat</t>
  </si>
  <si>
    <t>EN: TextResultReport</t>
  </si>
  <si>
    <t>NL-CM:13.2.2</t>
  </si>
  <si>
    <t>Het tekstverslag waarin de feitelijke resultaat van de test of de verrichting staat.</t>
  </si>
  <si>
    <t>TekstUitslagType</t>
  </si>
  <si>
    <t>EN: TextResultType</t>
  </si>
  <si>
    <t>NL-CM:13.2.4</t>
  </si>
  <si>
    <t>Het soort resultaat.</t>
  </si>
  <si>
    <t>UitkomstVanZorg</t>
  </si>
  <si>
    <t>UitkomstVanZorg-v3.1(2017NL)</t>
  </si>
  <si>
    <t>EN: OutcomeOfCare</t>
  </si>
  <si>
    <t>NL-CM:13.4.1</t>
  </si>
  <si>
    <t>Rootconcept van de bouwsteen UitkomstVanZorg. Dit rootconcept bevat alle gegevenselementen van de bouwsteen UitkomstVanZorg.</t>
  </si>
  <si>
    <t>Zorgresultaat</t>
  </si>
  <si>
    <t>EN: HealthcareResult</t>
  </si>
  <si>
    <t>NL-CM:13.4.5</t>
  </si>
  <si>
    <t>De tekstuele weergave van het zorgresultaat. Indien UitkomstVanZorg niet kan worden weergegeven als een meetwaarde of functionele dan wel mentale status, kan het in zorgresultaat als vrije tekst omschreven worden.</t>
  </si>
  <si>
    <t>Meetwaarde::AlgemeneMeting</t>
  </si>
  <si>
    <t>EN: MeasurementValue::GeneralMeasurement</t>
  </si>
  <si>
    <t>NL-CM:13.4.2</t>
  </si>
  <si>
    <t>Metingen waarbij een observatie, eventueel uitgevoerd met een (meet)instrument, wordt vertaald naar een relevante eenheid.</t>
  </si>
  <si>
    <t>Gezondheidstoestand::FunctioneleOfMentaleStatus</t>
  </si>
  <si>
    <t>EN: HealthCondition::FunctionalOrMentalStatus</t>
  </si>
  <si>
    <t>NL-CM:13.4.3</t>
  </si>
  <si>
    <t>Een beschrijving van gezondheidstoestand van de patiënt in de vorm van een functionele en/of mentale status.</t>
  </si>
  <si>
    <t>Interventie::VerpleegkundigeInterventie</t>
  </si>
  <si>
    <t>EN: Intervention::NursingIntervention</t>
  </si>
  <si>
    <t>NL-CM:13.4.4</t>
  </si>
  <si>
    <t>Een beschrijving van de verpleegkundige interventie waarvan de effectiviteit met het zorgresultaat beoordeeld wordt.</t>
  </si>
  <si>
    <t>Taalvaardigheid</t>
  </si>
  <si>
    <t>Taalvaardigheid-v3.1(2017NL)</t>
  </si>
  <si>
    <t>EN: LanguageProficiency</t>
  </si>
  <si>
    <t>NL-CM:7.12.1</t>
  </si>
  <si>
    <t>Rootconcept van de bouwsteen Taalvaardigheid. Dit concept bevat alle gegevenselementen van de bouwsteen Taalvaardigheid.</t>
  </si>
  <si>
    <t>CommunicatieTaal</t>
  </si>
  <si>
    <t>EN: CommunicationLanguage</t>
  </si>
  <si>
    <t>NL-CM:7.12.3</t>
  </si>
  <si>
    <t>De taal waarin de communicatie plaatsvindt.</t>
  </si>
  <si>
    <t>TaalvaardigheidBegrijpen</t>
  </si>
  <si>
    <t>EN: LanguageControlListening</t>
  </si>
  <si>
    <t>NL-CM:7.12.6</t>
  </si>
  <si>
    <t>Het vermogen om in de betreffende taal uitgesproken tekst te verstaan en begrijpen. Het gaat hierbij om het taaltechnische aspect</t>
  </si>
  <si>
    <t>TaalvaardigheidSpreken</t>
  </si>
  <si>
    <t>EN: LanguageControlSpeaking</t>
  </si>
  <si>
    <t>NL-CM:7.12.7</t>
  </si>
  <si>
    <t>Het vermogen om zich in de betreffende taal mondeling uit te kunnen drukken.</t>
  </si>
  <si>
    <t>TaalvaardigheidLezen</t>
  </si>
  <si>
    <t>EN: LanguageControlReading</t>
  </si>
  <si>
    <t>NL-CM:7.12.8</t>
  </si>
  <si>
    <t>Het vermogen om in de betreffende taal geschreven tekst te kunnen lezen en begrijpen. Het gaat hierbij om het taaltechnische aspect</t>
  </si>
  <si>
    <t>NL-CM:7.12.5</t>
  </si>
  <si>
    <t>Een toelichting op de taalvaardigheid.</t>
  </si>
  <si>
    <t>SondeSysteem</t>
  </si>
  <si>
    <t>SondeSysteem-v3.2(2017NL)</t>
  </si>
  <si>
    <t>EN: FeedingTubeSystem</t>
  </si>
  <si>
    <t>NL-CM:10.3.1</t>
  </si>
  <si>
    <t>Rootconcept van de bouwsteen SondeSysteem. Dit rootconcept bevat alle gegevenselementen van de bouwsteen SondeSysteem.</t>
  </si>
  <si>
    <t>Sonde::MedischHulpmiddel</t>
  </si>
  <si>
    <t>EN: FeedingTube::MedicalDevice</t>
  </si>
  <si>
    <t>NL-CM:10.3.2</t>
  </si>
  <si>
    <t>Sonde beschrijft de aanwezigheid van een sonde. Indien hier sprake van is, kunnen naast het type sonde, de plaatsingsdatum en entreelocatie van de sonde beschreven worden. Bovendien biedt het de mogelijkheid om indien gewenst identificerende gegevens van de sonde vast te leggen.</t>
  </si>
  <si>
    <t>SNOMED CT: 83059008 Tube</t>
  </si>
  <si>
    <t>Een beschrijving van het type sonde op basis van de locatie waar deze is ingebracht en de positie van de tip van de sonde.</t>
  </si>
  <si>
    <t>SondeLengte</t>
  </si>
  <si>
    <t>EN: FeedingTubeLength</t>
  </si>
  <si>
    <t>NL-CM:10.3.8</t>
  </si>
  <si>
    <t>De invoer lengte van de sonde in cm bij de betreffende patiënt zoals bepaald met formules op basis van bijv. de NEX oftewel neuspunt-oorlel-uiteinde borstbeen (bij volwassenen) of lichaamslengte (bij kinderen).</t>
  </si>
  <si>
    <t>SondeVoeding::MedicatieToediening2</t>
  </si>
  <si>
    <t>EN: EnteralNutrition::MedicationAdministration</t>
  </si>
  <si>
    <t>NL-CM:10.3.3</t>
  </si>
  <si>
    <t>De beschrijving van de vloeistof die toegediend wordt via de sonde en de dosis van de verstrekking, zoals vermeld staat in het medicatievoorschrift.
Hoewel het in de meeste gevallen via de sonde voeding wordt toegediend kunnen ook medicamenten via deze weg toegediend worden.</t>
  </si>
  <si>
    <t>SNOMED CT: 225748000 Artificial feed</t>
  </si>
  <si>
    <t>NL-CM:10.3.7</t>
  </si>
  <si>
    <t>Een beschrijving van hulpmiddelen die benodigd zijn voor het gebruik van de sonde, bijvoorbeeld een voedingspomp of, in het geval van afzuigen, een vacuumpomp.</t>
  </si>
  <si>
    <t>NL-CM:10.3.6</t>
  </si>
  <si>
    <t>Een toelichting op de sonde.</t>
  </si>
  <si>
    <t>StrongKidsScore</t>
  </si>
  <si>
    <t>StrongKidsScore-v1.0(2017NL)</t>
  </si>
  <si>
    <t>EN: StrongKidsScore</t>
  </si>
  <si>
    <t>NL-CM:4.28.1</t>
  </si>
  <si>
    <t>Rootconcept van de bouwsteen StrongKidsScore. Dit rootconcept bevat alle gegevenselementen van de bouwsteen StrongKidsScore.</t>
  </si>
  <si>
    <t>NL-CM:4.28.2</t>
  </si>
  <si>
    <t>De totaalscore is de optelsom van de deelscores. Het bereik van de totaalscore is 0 tot 5.</t>
  </si>
  <si>
    <t>Waardebereik: 0-5</t>
  </si>
  <si>
    <t>NL-CM:4.28.6</t>
  </si>
  <si>
    <t>De datum en het tijdstip waarop de StrongKids score bepaald is.</t>
  </si>
  <si>
    <t>NL-CM:4.28.7</t>
  </si>
  <si>
    <t>NL-CM:4.28.3</t>
  </si>
  <si>
    <t>De score is gebaseerd op gewichtsverlies of stilstand (kinderen &lt; 1jaar) in groei/gewicht gedurende de laatste weken tot maanden?</t>
  </si>
  <si>
    <t>ZiekteBeeldScore</t>
  </si>
  <si>
    <t>EN: ConditionScore</t>
  </si>
  <si>
    <t>NL-CM:4.28.4</t>
  </si>
  <si>
    <t>De score gebaseerd op aanwezigheid van een ziektebeeld met verhoogd risico op ondervoeding. Een lijst met risicovolle ziektebeelden wordt gegeven in referentie [1]</t>
  </si>
  <si>
    <t>VoedingsScore</t>
  </si>
  <si>
    <t>EN: NutritionScore</t>
  </si>
  <si>
    <t>NL-CM:4.28.5</t>
  </si>
  <si>
    <t>De score gebaseerd op de aanwezigheid van aspecten die een aanwijzing zijn voor een verminderde voedingstoestand:
- overmatige diarree en/of braken
- het gebruik van drink- of sondevoeding
- verminderde voedselinname gedurende de laatste 1-3 dagen.
-  belemmering van voedselinname door pijn</t>
  </si>
  <si>
    <t>VoedingstoestandScore</t>
  </si>
  <si>
    <t>EN: NutritionStatusScore</t>
  </si>
  <si>
    <t>NL-CM:4.28.8</t>
  </si>
  <si>
    <t>De score geeft een indicatie van de voedingstoestand van de patiënt op basis van de professionele opinie van de zorgverlener.</t>
  </si>
  <si>
    <t>Stoma-v3.2(2017NL)</t>
  </si>
  <si>
    <t>NL-CM:5.2.1</t>
  </si>
  <si>
    <t>Rootconcept van de bouwsteen Stoma. Dit rootconcept bevat alle gegevenselementen van de bouwsteen Stoma.</t>
  </si>
  <si>
    <t>StomaType</t>
  </si>
  <si>
    <t>EN: StomaType</t>
  </si>
  <si>
    <t>NL-CM:5.2.2</t>
  </si>
  <si>
    <t>Het type stoma geeft aan vanuit welke lichaamsholte de stoma is aangelegd en wat voor een soort stoma hiervoor gebruikt is.</t>
  </si>
  <si>
    <t>SNOMED CT: 245857005 Stoma</t>
  </si>
  <si>
    <t>StomaMateriaal::MedischHulpmiddel</t>
  </si>
  <si>
    <t>EN: StomaMaterial::MedicalDevice</t>
  </si>
  <si>
    <t>NL-CM:5.2.3</t>
  </si>
  <si>
    <t>Het stomamateriaal beschrijft de gebruikte hulpmiddelen, zoals huidplaat (het plakkende deel rondom stoma), stomazakje (voor het opvangen van output van stoma) en overige stomahulpmiddelen voor verzorgen van de stoma. Voor tracheostomata beschrijft het eveneens hulpmiddelen zoals spraakprothese en stomafilter.
Katheters die door de stoma naar binnen gebracht worden zoals een tracheacanule worden niet in dit concept beschreven. Deze hulpmiddelen moeten in een bovenliggende bouwsteen die de katheter beschrijft en naar de stoma verwijst gemodelleerd worden.</t>
  </si>
  <si>
    <t>SNOMED CT: 407744008 Stoma appliance</t>
  </si>
  <si>
    <t>NL-CM:5.2.4</t>
  </si>
  <si>
    <t>De anatomische locatie van de stoma bij de patiënt.</t>
  </si>
  <si>
    <t>NL-CM:5.2.8</t>
  </si>
  <si>
    <t>AanlegDatum</t>
  </si>
  <si>
    <t>EN: CreationDate</t>
  </si>
  <si>
    <t>NL-CM:5.2.5</t>
  </si>
  <si>
    <t>De datum waarop de stoma bij de patiënt is aangelegd, een vage datum, bijv. alleen een jaartal, is toegestaan.</t>
  </si>
  <si>
    <t>NL-CM:5.2.7</t>
  </si>
  <si>
    <t>Een toelichting op de stoma.</t>
  </si>
  <si>
    <t>SNAQ65+Score</t>
  </si>
  <si>
    <t>SNAQ65+Score-v1.0(2017NL)</t>
  </si>
  <si>
    <t>EN: SNAQ65+Score</t>
  </si>
  <si>
    <t>NL-CM:4.30.1</t>
  </si>
  <si>
    <t>Rootconcept van de bouwsteen SNAQ65+Score. Dit rootconcept bevat alle gegevenselementen van de bouwsteen SNAQ65+Score.</t>
  </si>
  <si>
    <t>NL-CM:4.30.3</t>
  </si>
  <si>
    <t>De score gebaseerd op het ongewenst gewichtsverlies gedurende de afgelopen zes maanden.</t>
  </si>
  <si>
    <t>BovenarmOmtrekScore</t>
  </si>
  <si>
    <t>EN: UpperarmCircumference</t>
  </si>
  <si>
    <t>NL-CM:4.30.8</t>
  </si>
  <si>
    <t>De score gebaseerd op omtrek van de bovenarm.</t>
  </si>
  <si>
    <t>EetlustScore</t>
  </si>
  <si>
    <t>EN: AppetiteScore</t>
  </si>
  <si>
    <t>NL-CM:4.30.4</t>
  </si>
  <si>
    <t>De score gebaseerd op een verminderde eetlust gedurende de afgelopen maand.</t>
  </si>
  <si>
    <t>InspanningsScore</t>
  </si>
  <si>
    <t>EN: ExerciseScore</t>
  </si>
  <si>
    <t>NL-CM:4.30.5</t>
  </si>
  <si>
    <t>De score gebaseerd op mogelijkheid om inspanning te verrichten zoals het trap op - en aflopen zonder rust of het gedurende vijf minuten wandelen zonder rust.</t>
  </si>
  <si>
    <t>NL-CM:4.30.2</t>
  </si>
  <si>
    <t>De totaalscore is de optelsom van de deelscores. Het bereik van de totaalscore is 0 tot 5. De relatie tussen de waarde van de totaalscore en het kleurresultaat van de scorekaart is:
 0-1 = groen
2 = oranje
3 en hoger = rood.</t>
  </si>
  <si>
    <t>SNAQ65+ScoreDatumTijd</t>
  </si>
  <si>
    <t>EN: SNAQScoreDateTime</t>
  </si>
  <si>
    <t>NL-CM:4.30.6</t>
  </si>
  <si>
    <t>De datum en het tijdstip waarop de SNAQ65+ score bepaald is.</t>
  </si>
  <si>
    <t>NL-CM:4.30.7</t>
  </si>
  <si>
    <t>Polsfrequentie</t>
  </si>
  <si>
    <t>Polsfrequentie-v3.1(2017NL)</t>
  </si>
  <si>
    <t>EN: PulseRate</t>
  </si>
  <si>
    <t>NL-CM:12.7.1</t>
  </si>
  <si>
    <t>Rootconcept van de bouwsteen Polsfrequentie. Dit rootconcept bevat alle gegevenselementen van de bouwsteen Polsfrequentie.</t>
  </si>
  <si>
    <t>PolsfrequentieWaarde</t>
  </si>
  <si>
    <t>EN: PulseRateValue</t>
  </si>
  <si>
    <t>NL-CM:12.7.2</t>
  </si>
  <si>
    <t>Het element bevat de waarde van de gemeten polsfrequentie. De polsfrequentie wordt uitgedrukt in het aantal voelbare pulsaties van een slagader per minuut, meestal de a. radialis, a. carotis of a. femoralis.</t>
  </si>
  <si>
    <t>LOINC: 8893-0 Heart rate Peripheral artery by Palpation</t>
  </si>
  <si>
    <t>PolsfrequentieDatumTijd</t>
  </si>
  <si>
    <t>EN: PulseRateDateTime</t>
  </si>
  <si>
    <t>NL-CM:12.7.3</t>
  </si>
  <si>
    <t>Datum en tijd van de waarneming van de polsfrequentie of polsregelmatigheid.</t>
  </si>
  <si>
    <t>NL-CM:12.7.4</t>
  </si>
  <si>
    <t>Toelichting over eventuele problemen of factoren die van invloed kunnen zijn op de meting. Ook kan hier een nadere beschrijving van de polskwaliteiten worden weergegeven: aequaal/inaequaal, pulsus alternans, pulsus paradoxus, pols volume, enz.</t>
  </si>
  <si>
    <t>PolsRegelmatigheid</t>
  </si>
  <si>
    <t>EN: PulseRegularity</t>
  </si>
  <si>
    <t>NL-CM:12.7.5</t>
  </si>
  <si>
    <t>Regulair (regelmatig) of irregulair (onregelmatig) ritme.</t>
  </si>
  <si>
    <t>SNAQScore</t>
  </si>
  <si>
    <t>SNAQScore-v3.1(2017NL)</t>
  </si>
  <si>
    <t>EN: SNAQScore</t>
  </si>
  <si>
    <t>NL-CM:4.6.1</t>
  </si>
  <si>
    <t>Rootconcept van de bouwsteen SNAQScore. Dit rootconcept bevat alle gegevenselementen van de bouwsteen SNAQScore.</t>
  </si>
  <si>
    <t>NL-CM:4.6.3</t>
  </si>
  <si>
    <t>De score gebaseerd op het ongewenst gewichtsverlies gedurende de afgelopen maand(en).</t>
  </si>
  <si>
    <t>NL-CM:4.6.4</t>
  </si>
  <si>
    <t>NL-CM:4.6.5</t>
  </si>
  <si>
    <t>De score gebaseerd op het gebruik van drink- of sondevoeding gedurende de afgelopen maand.</t>
  </si>
  <si>
    <t>NL-CM:4.6.2</t>
  </si>
  <si>
    <t>SNAQScoreDatumTijd</t>
  </si>
  <si>
    <t>NL-CM:4.6.6</t>
  </si>
  <si>
    <t>De datum en het tijdstip waarop de SNAQ score bepaald is.</t>
  </si>
  <si>
    <t>NL-CM:4.6.7</t>
  </si>
  <si>
    <t>Schedelomvang</t>
  </si>
  <si>
    <t>Schedelomvang-v1.1(2017NL)</t>
  </si>
  <si>
    <t>EN: HeadCircumference</t>
  </si>
  <si>
    <t>NL-CM:12.14.1</t>
  </si>
  <si>
    <t>Rootconcept van de bouwsteen Schedelomvang. Dit rootconcept bevat alle gegevenselementen van de bouwsteen Schedelomvang.</t>
  </si>
  <si>
    <t>NL-CM:12.14.4</t>
  </si>
  <si>
    <t>De toelichting op de schedelomvang.</t>
  </si>
  <si>
    <t>SchedelomvangDatumTijd</t>
  </si>
  <si>
    <t>EN: HeadCircumferenceDate</t>
  </si>
  <si>
    <t>NL-CM:12.14.2</t>
  </si>
  <si>
    <t>De datum waarop de schedelomvang is gemeten.</t>
  </si>
  <si>
    <t>SchedelomvangWaarde</t>
  </si>
  <si>
    <t>EN: HeadCircumferenceMeasurement</t>
  </si>
  <si>
    <t>NL-CM:12.14.3</t>
  </si>
  <si>
    <t>De waarde van de schedelomvang zoals in centimeters (cm) gemeten.</t>
  </si>
  <si>
    <t>SNOMED CT: 363812007 Head circumference</t>
  </si>
  <si>
    <t>SchedelomvangMeetmethode</t>
  </si>
  <si>
    <t>EN: HeadCircumferenceMeasuringMethod</t>
  </si>
  <si>
    <t>NL-CM:12.14.5</t>
  </si>
  <si>
    <t>Er zijn verschillende methoden om de schedelomvang te meten: prenatale meting via echografisch onderzoek of meting na geboorte met een meetlint door vanaf het achterhoofd (occiput) naar boven de ogen (supraorbitaal) te meten.</t>
  </si>
  <si>
    <t>SNOMED CT: 56792006 Measurement of skull circumference</t>
  </si>
  <si>
    <t>PijnScore</t>
  </si>
  <si>
    <t>Pijnscore-v3.1(2017NL)</t>
  </si>
  <si>
    <t>EN: PainScore</t>
  </si>
  <si>
    <t>NL-CM:12.9.1</t>
  </si>
  <si>
    <t>Rootconcept van de bouwsteen Pijnscore. Dit rootconcept bevat alle gegevenselementen van de bouwsteen Pijnscore.</t>
  </si>
  <si>
    <t>PijnscoreWaarde</t>
  </si>
  <si>
    <t>EN: PainScoreValue</t>
  </si>
  <si>
    <t>NL-CM:12.9.2</t>
  </si>
  <si>
    <t>De score is een algemene maat voor de pijnbeleving, geen beschrijving van specifieke, gelocaliseerde pijn.
Afhankelijk van de gebruikte meetmethode geeft het de door de patiënt beleefde mate van pijn aan op een schaal van 0 tot en met 10: 0 = geen pijn en 10 = de ergst voorstelbare pijn. Voor de tussenliggende waarden zijn geen omschrijvingen in gebruik, zodat de waarde als een getal en niet als een code wordt weergegeven. 
Soms wordt een waardebereik van 0-100 gebruikt i.p.v. 0-10.</t>
  </si>
  <si>
    <t>SNOMED CT: 225908003 Pain score</t>
  </si>
  <si>
    <t>Waardebereik 0-100,Waardebereik: 0-10</t>
  </si>
  <si>
    <t>PijnscoreDatumTijd</t>
  </si>
  <si>
    <t>EN: PainScoreDateTime</t>
  </si>
  <si>
    <t>NL-CM:12.9.3</t>
  </si>
  <si>
    <t>De datum en het tijdstip waarop de pijnscore gemeten is.</t>
  </si>
  <si>
    <t>PijnMeetmethode</t>
  </si>
  <si>
    <t>EN: PainMeasuringMethod</t>
  </si>
  <si>
    <t>NL-CM:12.9.4</t>
  </si>
  <si>
    <t>De meetmethode beschrijft de gebruikte methodiek om de pijnscore vast te leggen. Bij de meting wordt gebruik gemaakt van een visualisatie van de pijnschaal.</t>
  </si>
  <si>
    <t>NL-CM:12.9.6</t>
  </si>
  <si>
    <t>NL-CM:12.9.7</t>
  </si>
  <si>
    <t>NL-CM:12.9.5</t>
  </si>
  <si>
    <t>Toelichting op de pijnscore meting, bijvoorbeeld opmerkingen betreffende de omstandigheden en storende factoren die het meetresultaat kunnen beïnvloeden.</t>
  </si>
  <si>
    <t>SNAQrcScore</t>
  </si>
  <si>
    <t>SNAQrcScore-v1.0(2017NL)</t>
  </si>
  <si>
    <t>EN: SNAQrcScore</t>
  </si>
  <si>
    <t>NL-CM:4.29.1</t>
  </si>
  <si>
    <t>Rootconcept van de bouwsteen SNAQrcScore. Dit rootconcept bevat alle gegevenselementen van de bouwsteen SNAQrcScore.</t>
  </si>
  <si>
    <t>NL-CM:4.29.3</t>
  </si>
  <si>
    <t>NL-CM:4.29.4</t>
  </si>
  <si>
    <t>NL-CM:4.29.5</t>
  </si>
  <si>
    <t>De score gebaseerd op de BMI van de patiënt. Bij een BMI &gt;28 (overgewicht) kan de score niet gebruikt worden</t>
  </si>
  <si>
    <t>HulpBijEten</t>
  </si>
  <si>
    <t>EN: AssistedEating</t>
  </si>
  <si>
    <t>NL-CM:4.29.8</t>
  </si>
  <si>
    <t>De score gebaseerd op het vermogen van de patiënt om zelfstandig te kunnen eten en drinken.</t>
  </si>
  <si>
    <t>NL-CM:4.29.2</t>
  </si>
  <si>
    <t>De totaalscore is de optelsom van de deelscores. Het bereik van de totaalscore is 0 tot 5.
De relatie tussen de waarde van de totaalscore en het kleurresultaat van de scorekaart is:
0 = groen
1 = oranje
2 en hoger = rood.</t>
  </si>
  <si>
    <t>SNAQrcScoreDatumTijd</t>
  </si>
  <si>
    <t>EN: SNAQrcScoreDateTime</t>
  </si>
  <si>
    <t>NL-CM:4.29.6</t>
  </si>
  <si>
    <t>De datum en het tijdstip waarop de SNAQrc score bepaald is.</t>
  </si>
  <si>
    <t>NL-CM:4.29.7</t>
  </si>
  <si>
    <t>GebruiksInstructie</t>
  </si>
  <si>
    <t>part.GebruiksInstructie-v1.1(2017NL)</t>
  </si>
  <si>
    <t>NL-CM:9.12.22504</t>
  </si>
  <si>
    <t>Rootconcept van de sub-bouwsteen GebruiksInstructie. Dit rootconcept bevat alle gegevenselementen van de bouwsteen GebruiksInstructie.</t>
  </si>
  <si>
    <t>AanvullendeInstructie</t>
  </si>
  <si>
    <t>EN: AdditionalInstructions</t>
  </si>
  <si>
    <t>NL-CM:9.12.19944</t>
  </si>
  <si>
    <t>De aanvullende instructie bevat een aanvullend uitleg over het gebruik of de overwegingen voor het huidige voorschrift.
Het kan hier ook gaan om alle aanwijzingen voor gebruik. De tekst kan afkomstig zijn van het oorspronkelijke "papieren" medicatievoorschrift, maar kan ook gegenereerd worden uit de gecodeerde gegevens. 
Dit concept mag meer informatie bevatten dan gestructureerd gecodeerd is in de onderliggende informatie, maar mag er niet mee in tegenspraak zijn.
De instructies mogen niet conflicteren met andere onderdelen van het toedieningsverzoek.
De instructies kunnen ook verwijzen naar een bestaand protocol.
De G-standaard bevat veel teksten die dit attribuut kunnen ondersteunen, onder andere in G-standaard tabel 362 waar de teksten uit de huisartsenstandaard WCIA tabel 25 zijn opgenomen. Deze teksten kunnen desgewenst gebruikt worden om invulling te geven aan dit concept.</t>
  </si>
  <si>
    <t>NL-CM:9.12.9581</t>
  </si>
  <si>
    <t>Tekstuele omschrijving van de volledige gebruiksinstructie inclusief de gebruiksperiode.</t>
  </si>
  <si>
    <t>HerhaalperiodeCyclischSchema</t>
  </si>
  <si>
    <t>EN: RepeatPeriodCyclicalSchedule</t>
  </si>
  <si>
    <t>NL-CM:9.12.22505</t>
  </si>
  <si>
    <t>De herhaalperiode van een cyclisch schema (van één of meer doseerinstructies). Een cyclisch schema wordt weergegeven in dagen, de bijbehorende doseerduur is daarbij ook in dagen.
Voorbeelden van een cyclisch schema: 
de anticonceptiepil (21 dagen 1 maal per dag 1 stuk, dan 7 dagen niet, dit herhalen), de herhaalperiode is hier 28 d</t>
  </si>
  <si>
    <t>NL-CM:9.12.19941</t>
  </si>
  <si>
    <t>De route waarlangs de medicatie wordt toegediend (oraal, nasaal, intraveneus, et cetera).</t>
  </si>
  <si>
    <t>Doseerinstructie</t>
  </si>
  <si>
    <t>EN: DosingInstructions</t>
  </si>
  <si>
    <t>NL-CM:9.12.22095</t>
  </si>
  <si>
    <t>Doseerduur</t>
  </si>
  <si>
    <t>EN: DoseDuration</t>
  </si>
  <si>
    <t>NL-CM:9.12.22506</t>
  </si>
  <si>
    <t>De beoogde tijdsduur voor deze doseerinstructie, bjivoorbeeld 5 dagen of 8 weken.
Bij medicatie voor onbepaalde duur wordt in de laatste doseerinstructie de doseerduur leeg gelaten. Leeg laten van doseerduur mag alleen bij medicatie voor onbepaalde duur.</t>
  </si>
  <si>
    <t>Volgnummer</t>
  </si>
  <si>
    <t>EN: SequenceNumber</t>
  </si>
  <si>
    <t>NL-CM:9.12.22503</t>
  </si>
  <si>
    <t>Deze geeft de volgorde van de doseerinstructies aan binnen de medicatieafspraak.</t>
  </si>
  <si>
    <t>Dosering</t>
  </si>
  <si>
    <t>EN: Dosage</t>
  </si>
  <si>
    <t>NL-CM:9.12.19935</t>
  </si>
  <si>
    <t>NL-CM:9.12.19942</t>
  </si>
  <si>
    <t>Toedieningsduur::Bereik</t>
  </si>
  <si>
    <t>EN:DurationOfAdministration</t>
  </si>
  <si>
    <t>NL-CM:9.12.23141</t>
  </si>
  <si>
    <t>Keerdosis::Bereik</t>
  </si>
  <si>
    <t>EN: Dose::Range</t>
  </si>
  <si>
    <t>NL-CM:9.12.19940</t>
  </si>
  <si>
    <t>Zonodig</t>
  </si>
  <si>
    <t>EN: AsNeeded</t>
  </si>
  <si>
    <t>NL-CM:9.12.22512</t>
  </si>
  <si>
    <t>Zo nodig betekent dat de toediening alleen onder een bepaalde voorwaarde wordt uitgevoerd.
Zie ook de sectie Instructions voor meer informatie over het gebruik.</t>
  </si>
  <si>
    <t>Criterium</t>
  </si>
  <si>
    <t>EN: Condition</t>
  </si>
  <si>
    <t>NL-CM:9.12.19945</t>
  </si>
  <si>
    <t>De voorwaarde voor het toedienen van een medicament kan zijn:
-  een fysiologische meetwaarde (plasma glucose concentratie, lichaamstemperatuur, bloeddruk);
-  een symptoom of andere omstandigheid (bij hoofdpijn, bij jeuk).
Relevante b-codes uit Tabel25 vormen de waardelijst om dit concept gecodeerd door te geven. Daarbij moet altijd ook de tekstuele omschrijving van die code meegegeven worden.
Fysiologische meetwaarden of andere voorwaarden die niet in de b-codes van Tabel25 voorkomen, hoeven niet gecodeerd te worden. Deze kunnen uitgedrukt worden in vrije tekst in het concept omschrijving.</t>
  </si>
  <si>
    <t>MaximaleDosering</t>
  </si>
  <si>
    <t>EN: MaximumDose</t>
  </si>
  <si>
    <t>NL-CM:9.12.19946</t>
  </si>
  <si>
    <t>Toedieningsschema</t>
  </si>
  <si>
    <t>EN: AdministeringSchedule</t>
  </si>
  <si>
    <t>NL-CM:9.12.19948</t>
  </si>
  <si>
    <t>De specificatie van de tijdsmomenten waarop het medicament toegediend wordt of zal worden. De wijze waarop dit wordt weergegeven is:
-  Tijdstip(pen) (16:00) of gebeurtenissen ("voor het eten") waarop het medicament dagelijks ingenomen moet worden.
-  Een specifiek aantal keren dat het medicament dagelijks ingenomen moet worden ("3x per dag"), aangeduid met de frequentie
-  Een tijdsafstand tussen opeenvolgende innames ("Elke 2 uur", "elke 3 dagen"), aangeduid met Interval.
-  Combinaties van periodes met een interval en een duur ("Gedurende drie van vier weken dagelijks 1 : het pilschema")
Als een medicament niet dagelijks ingenomen moet worden, kan het voorgaande gecombineerd worden met dagaanduidingen:
-  Een of meerdere weekdagen waarop de toediening moet plaatsvinden ("maandag, woensdag, vrijdag")
-  "3 keer per week", "2 keer per maand".
Standaard zal de gespecificeerde toediening "oneindig" herhaald worden tot: 
-  De einddatum en tijd bereikt is
-  De totale toedieningsduur bereikt is (gedurende 14 dagen)
-  Een specifiek aantal toedieningen bereikt is ("20 giften), op te geven in het concept Frequentie.</t>
  </si>
  <si>
    <t>Frequentie::Bereik</t>
  </si>
  <si>
    <t>EN: Frequency::Range</t>
  </si>
  <si>
    <t>NL-CM:9.12.19949</t>
  </si>
  <si>
    <t>De frequentie geeft het aantal doseermomenten per tijdseenheid, meestal per dag. Als dit gegeven is opgenomen, dan zal het Interval niet zijn opgegeven. Meestal bestaat frequentie uit zowel aantal als tijdseenheid (3 maal per dag), maar het kan ook zonder tijdseenheid voorkomen (éénmalig).
Er wordt dan een redelijke verdeling over de dag verwacht, maar dit komt niet heel precies en wordt aan de patiënt overgelaten. Het is de gebruikelijke manier van voorschrijven extramuraal. Bij baxteren en intramuraal wordt uit een dergelijk voorschrift daarna een (locatiegebonden) uitwerking gemaakt in uitdeeltijden (logistiek).
De tijdseenheid van de frequentie moet gelijk zijn aan hoe deze is weergegeven in de tekstuele weergave van de dosering. 
Bijvoorbeeld: 
bij dosering '2 maal per dag...' geldt:
-  aantal = 2
-  tijdseenheid = 'dag'.
bij dosering '3 maal per week...' geldt:
-  aantal = 3
-  tijdseenheid = 'week'.
Optioneel is voor de eenheid in plaats van gebruik van UCUM eenheden ook een vertaling toegestaan naar NHG tabel Gebruiksvoorschriften (tabel 25)</t>
  </si>
  <si>
    <t>Weekdag</t>
  </si>
  <si>
    <t>EN: WeekDay</t>
  </si>
  <si>
    <t>NL-CM:9.12.19952</t>
  </si>
  <si>
    <t>Weekdag definieert een patroon van toedieningen op vaste weekdagen.</t>
  </si>
  <si>
    <t>Dagdeel</t>
  </si>
  <si>
    <t>EN: TimeOfDay</t>
  </si>
  <si>
    <t>NL-CM:9.12.19953</t>
  </si>
  <si>
    <t>Dagdeel: ochtend, middag, avond, nacht.</t>
  </si>
  <si>
    <t>Toedientijd</t>
  </si>
  <si>
    <t>EN: AdministrationTime</t>
  </si>
  <si>
    <t>NL-CM:9.12.19951</t>
  </si>
  <si>
    <t>De toedientijd is een specifieke (klok)tijd op de dag. Deze tijd is meestal niet exact (bedoeld). Er kunnen meerdere inname tijdstippen op een dag zijn.
De beoogde toedientijd kan ook als dagdeel worden aangegeven (ochtend, middag, avond, nacht). De toedientijd blijft dan leeg, waarbij het dagdeel vastgelegd kan worden in het concept Dagdeel.</t>
  </si>
  <si>
    <t>NL-CM:9.12.19950</t>
  </si>
  <si>
    <t>ParticipatieInMaatschappij</t>
  </si>
  <si>
    <t>ParticipatieInMaatschappij-v3.1(2017NL)</t>
  </si>
  <si>
    <t>EN: ParticipationInSociety</t>
  </si>
  <si>
    <t>NL-CM:18.6.1</t>
  </si>
  <si>
    <t>Rootconcept van de bouwsteen ParticipatieInMaatschappij. Dit concept bevat alle gegevenselementen van de bouwsteen ParticipatieInMaatschappij.</t>
  </si>
  <si>
    <t>SNOMED CT: 314845004 Patient participation status</t>
  </si>
  <si>
    <t>SociaalNetwerk</t>
  </si>
  <si>
    <t>EN: SocialNetwork</t>
  </si>
  <si>
    <t>NL-CM:18.6.2</t>
  </si>
  <si>
    <t>Een beschrijving van het sociaal-maatschappelijk netwerk van de patiënt, zoals familie, buren en vriendenkring.</t>
  </si>
  <si>
    <t>SNOMED CT: 365469004 Household,family and support network finding</t>
  </si>
  <si>
    <t>Vrijetijdsbesteding</t>
  </si>
  <si>
    <t>EN: Hobby</t>
  </si>
  <si>
    <t>NL-CM:18.6.3</t>
  </si>
  <si>
    <t>Een activiteit die de patiënt graag in de vrije tijd uitoefent.</t>
  </si>
  <si>
    <t>SNOMED CT: 405081003 Leisure behavior</t>
  </si>
  <si>
    <t>Arbeidssituatie</t>
  </si>
  <si>
    <t>EN: WorkSituation</t>
  </si>
  <si>
    <t>NL-CM:18.6.4</t>
  </si>
  <si>
    <t>Arbeidssituatie beschrijft de mate waarin en wijze waarop de patiënt deelneemt aan het arbeidsproces. Arbeid is hierbij in de ruimste zin bedoeld: bezigheden die nut hebben voor de persoon zelf, zijn omgeving of de maatschappij. Het omvat dus zowel betaald als onbetaald werk.</t>
  </si>
  <si>
    <t>SNOMED CT: 364703007 Employment detail</t>
  </si>
  <si>
    <t>NL-CM:18.6.5</t>
  </si>
  <si>
    <t>De toelichting op de participatie in de maatschappij.</t>
  </si>
  <si>
    <t>TijdsInterval</t>
  </si>
  <si>
    <t>part.TijdsInterval-v1.0(2017NL)</t>
  </si>
  <si>
    <t>EN: TimeInterval</t>
  </si>
  <si>
    <t>NL-CM:20.3.1</t>
  </si>
  <si>
    <t>Rootconcept van de subbouwsteen TijdsInterval. Dit rootconcept bevat alle gegevenselementen van de subbouwsteen TijdsInterval.</t>
  </si>
  <si>
    <t>startDatumTijd</t>
  </si>
  <si>
    <t>EN: startDateTime</t>
  </si>
  <si>
    <t>NL-CM:20.3.2</t>
  </si>
  <si>
    <t>De begindatum en tijd van het interval</t>
  </si>
  <si>
    <t>eindDatumTijd</t>
  </si>
  <si>
    <t>EN: endDateTime</t>
  </si>
  <si>
    <t>NL-CM:20.3.3</t>
  </si>
  <si>
    <t>De einddatum en tijd van het interval</t>
  </si>
  <si>
    <t>tijdsDuur</t>
  </si>
  <si>
    <t>EN: Duration</t>
  </si>
  <si>
    <t>NL-CM:20.3.4</t>
  </si>
  <si>
    <t>De tijdsduur van het interval in een gewenste tijdseenheid (bv. dagen of uren, etc.).</t>
  </si>
  <si>
    <t xml:space="preserve">Mapping van dataset </t>
  </si>
  <si>
    <t>naar zibs (incl BgZ)</t>
  </si>
  <si>
    <t>Zibs en BgZ</t>
  </si>
  <si>
    <t>Van zibs naar KR</t>
  </si>
  <si>
    <t>Vragen en actiepunten</t>
  </si>
  <si>
    <t>Zorgproces</t>
  </si>
  <si>
    <t>Epd</t>
  </si>
  <si>
    <t>Variabelenummer</t>
  </si>
  <si>
    <t>Naam variabele</t>
  </si>
  <si>
    <t>Code variabele</t>
  </si>
  <si>
    <t>Uitleg variabele / definitie</t>
  </si>
  <si>
    <t>Datatype variabele</t>
  </si>
  <si>
    <t>Formaat</t>
  </si>
  <si>
    <t>Codering (= vulling / value set)</t>
  </si>
  <si>
    <t>Verplicht?</t>
  </si>
  <si>
    <t>Zib</t>
  </si>
  <si>
    <t>Zib 2</t>
  </si>
  <si>
    <t>Instantiatie van de zib</t>
  </si>
  <si>
    <t>Container (1)</t>
  </si>
  <si>
    <t>Container (2)</t>
  </si>
  <si>
    <t>Dataelement</t>
  </si>
  <si>
    <t>Datatype</t>
  </si>
  <si>
    <t>Kardinaliteit</t>
  </si>
  <si>
    <t>Codelijst</t>
  </si>
  <si>
    <t>Vulling / value set</t>
  </si>
  <si>
    <t>Mapping</t>
  </si>
  <si>
    <t>Versienummer zib</t>
  </si>
  <si>
    <t>BgZ</t>
  </si>
  <si>
    <t>Bewerkingtype</t>
  </si>
  <si>
    <t>Bewerking</t>
  </si>
  <si>
    <t>Openstaande vragen</t>
  </si>
  <si>
    <t>Toelichting, opmerkingen, antwoorden</t>
  </si>
  <si>
    <t>Wijzigingsverzoek zib</t>
  </si>
  <si>
    <t>Actiehouder</t>
  </si>
  <si>
    <t>Relevant voor primaire zorgproces?</t>
  </si>
  <si>
    <t>Waar in zorgproces wordt gegeven vastgelegd?</t>
  </si>
  <si>
    <t>Wie legt gegeven vast?</t>
  </si>
  <si>
    <t>Welk veld in epd</t>
  </si>
  <si>
    <t>Datatype epd-veld</t>
  </si>
  <si>
    <t>Extractie</t>
  </si>
  <si>
    <t>Identificatie</t>
  </si>
  <si>
    <t>Achternaam of patientnummer verplicht</t>
  </si>
  <si>
    <t>Patient v3.1</t>
  </si>
  <si>
    <t>Naamgegevens::Geslachtsnaam</t>
  </si>
  <si>
    <t>Voorletters + Tussenvoegsels</t>
  </si>
  <si>
    <t>Nee</t>
  </si>
  <si>
    <t>n.v.t.</t>
  </si>
  <si>
    <t>Man
Vrouw</t>
  </si>
  <si>
    <t>GeslachtCodelijst</t>
  </si>
  <si>
    <t>Behandeldatum</t>
  </si>
  <si>
    <t>dd/mm/jjjj</t>
  </si>
  <si>
    <t>Verrichting v4.1</t>
  </si>
  <si>
    <t>Patientnummer in kliniek</t>
  </si>
  <si>
    <t>Diagnose</t>
  </si>
  <si>
    <t>Datum eerste MRI preoperatief</t>
  </si>
  <si>
    <t>dd/m/jjjj</t>
  </si>
  <si>
    <t>Voor operatie of behandeling</t>
  </si>
  <si>
    <t>VerrichtingTypeCodelijst</t>
  </si>
  <si>
    <t>Zie DTVT</t>
  </si>
  <si>
    <t>Pathologische diagnose</t>
  </si>
  <si>
    <t>Glioblastoom
Gliosarcoom
Glioblastoom met oligodendrogliade kenmerken
Astrocytoom WHO graad 2 met IDH 1 wildtype
Astrocytoom WHO graad 3 met IDH 1 wildtype
Klinische diagnose glioblastoom anderszins</t>
  </si>
  <si>
    <t>AlgemeneMeting v3.0</t>
  </si>
  <si>
    <t>Combinatie van WHO graad en IDH wildtype</t>
  </si>
  <si>
    <t>Meetuitslag</t>
  </si>
  <si>
    <t>MetingNaamCodelijst</t>
  </si>
  <si>
    <t>SNOMED:
104761004 - bepalen van isocitraatdehydrogenase (verrichting)</t>
  </si>
  <si>
    <t>SNOMED:
397005006 - World Health Organization tumor classification (observable entity)</t>
  </si>
  <si>
    <t>Datum diagnose</t>
  </si>
  <si>
    <t>dd/mm/jjjj
1ste contact nech voor deze registratie</t>
  </si>
  <si>
    <t>Slimmer uitvragen m.b.v. Pathologische diagnose</t>
  </si>
  <si>
    <t>Is patiënt besproken in Multidisciplinair Overleg?</t>
  </si>
  <si>
    <t>Nee
Ja
Onbekend</t>
  </si>
  <si>
    <t>Symptomatologie</t>
  </si>
  <si>
    <t>Karnofsky score preoperatief?</t>
  </si>
  <si>
    <t>0- Dood
10- Stervende
20- Zeer ziek
30- Ernstig invalide
40- Invalide
50- Veel hulp en verzorging nodig
60- Af en toe hulp nodig
70- Zorgt voor zichzelf 
80- Met enige moeite normale activiteit
90- Normale activiteit, geringe symptomen 
100- Normaal, geen klachten
Onbekend</t>
  </si>
  <si>
    <t>SNOMED:
273546003 - Karnofsky index
761869008 - Karnofsky Performance Status score
761870009 - Beoordelen met 'Karnofsky Performance Status'</t>
  </si>
  <si>
    <t>Behandeling/chirurgie</t>
  </si>
  <si>
    <t>Datum operatie</t>
  </si>
  <si>
    <t>Ziekenhuis waar behandeling heeft plaatsgevonden</t>
  </si>
  <si>
    <t>Academisch Medisch Centrum Amsterdam
Leids Universitair Medisch Centrum
VU Medisch Centrum Amsterdam
Universitair Medisch Centrum Utrecht
Maastricht UMC
RadboudUMC
Erasmus Medisch Centrum Rotterdam
Universitair Medisch Centrum Groningen
Martini Ziekenhuis Groningen
HMC Den Haag
Medisch Spectrum Twente
Isala
Noordwest Ziekenhuisgroep Alkmaar
ETZ Elisabeth Tilburg
Zuyderland Medisch Centrum loc. Heerlen</t>
  </si>
  <si>
    <t>Zorgaanbieder v3.1.1</t>
  </si>
  <si>
    <t>Koppelen aan Verrichting operatie</t>
  </si>
  <si>
    <t>Type operatie</t>
  </si>
  <si>
    <t>Biopt (stereotactiech of open)
Resectie</t>
  </si>
  <si>
    <t>VerrichtingMethodeCodelijst</t>
  </si>
  <si>
    <t>VerrichtingBeginDatum</t>
  </si>
  <si>
    <t>ASA classificatie</t>
  </si>
  <si>
    <t>I. Patiënt in goede gezondheid
II. Patiënt met een lichte aandoening, die geen invloed heeft op zijn dagelijks functioneren
III. Patiënt met een ernstige aandoening, die wel invloed heeft op zijn dagelijks functioneren
IV. Patiënt met ernstige preoperatieve gezondheidsproblemen. De patiënt heeft een aandoening (hart, lever-of nierfalen) die levensgevaar oplevert bij operatie
V. Patiënt met zeer ernstige preoperatieve gezondheidsproblemen. De patiënt heeft met of zonder operatie een grote kans om te overlijden
Onbekend</t>
  </si>
  <si>
    <t>SNOMED
413347006 - ASA-score
273270000 - ASA-classificatie</t>
  </si>
  <si>
    <t>Complicatie</t>
  </si>
  <si>
    <t>Gradering volgens Clavien-Dindo classificatie</t>
  </si>
  <si>
    <t>0. Geen complicatie.
I. Iedere afwijking ten opzichte van het normale postoperatieve beloop zonder medicamenteuze behandeling of chirurgische, endoscopische of radiologische interventie.
II: Medicamenteuze behandeling in verband met complicaties anders dan onder 1 beschreven (inclusief bloedtransfusies en totale parenterale voeding)
III. Noodzakelijke chirurgische, endoscopische of radiologische interventie   
III-a: Niet uitgevoerd onder algehele anesthesie  
III-b: Uitgevoerd onder algehele anesthesie
IV: Levensbedreigende complicaties waarvoor opname op intensive care noodzakelijk is    
IV-a: Enkelvoudige orgaandisfunctie
V-b: Multi-orgaandisfunctie
V: Overlijden van de patiënt</t>
  </si>
  <si>
    <t>Let op: bij geen complicatie geen waarde voor Clavien-dindo (in registratie 0)</t>
  </si>
  <si>
    <t>SNOMED
789279006 - Clavien-Dindo complication grade
789278003 - Clavien-Dindo complication scale</t>
  </si>
  <si>
    <t>Behandeling en aanvullende behandeling</t>
  </si>
  <si>
    <t>Nabehandeling</t>
  </si>
  <si>
    <t>Chemo-radiotherapie
Alleen radiotherapie
Alleen chemotherapie
Geen nabehandeling</t>
  </si>
  <si>
    <t>MedicatieAfspraak v1.0.1</t>
  </si>
  <si>
    <t>ProductCodeATCCodelijst</t>
  </si>
  <si>
    <t>Zie overige Codelijsten</t>
  </si>
  <si>
    <t>Indien alleen radiotherapie, radiotherapie in eigen ziekenhuis?</t>
  </si>
  <si>
    <t>Ja
Nee</t>
  </si>
  <si>
    <t>Locatie:: Zorgaanbieder</t>
  </si>
  <si>
    <t>Indien ja, startdatum radiotherapie</t>
  </si>
  <si>
    <t>Slimmer uitvragen m.b.v. Indien alleen radiotherapie, radiotherapie in eigen ziekenhuis?</t>
  </si>
  <si>
    <t>Vervolg</t>
  </si>
  <si>
    <t>Karnofsky score bij ontslag</t>
  </si>
  <si>
    <t xml:space="preserve">Bij ontslag </t>
  </si>
  <si>
    <t>Karnofsky score 6-8 weken postoperatief</t>
  </si>
  <si>
    <t>6-8 weken na operatie of behandeling</t>
  </si>
  <si>
    <t>Health related quality of life QLQ-C30</t>
  </si>
  <si>
    <t>SNOMED
273446001 - European Organization for Research and Treatment of Cancer - Quality of life questionnaire</t>
  </si>
  <si>
    <t>Health related quality of lide QLQ-BN20</t>
  </si>
  <si>
    <t>Datum vervolgbehandeling</t>
  </si>
  <si>
    <t xml:space="preserve">Vraag aan AO: welke vervolgbehandelingen moeten meegenomen worden?
Antwoord AO: chirurgie, radiotherapie en chemotherapie </t>
  </si>
  <si>
    <t>Na eerste operatie of behandeling</t>
  </si>
  <si>
    <t>Overlijdensdatum</t>
  </si>
  <si>
    <t>Progressie</t>
  </si>
  <si>
    <t xml:space="preserve">Is er na de eerste behandeling progressie vastgesteld waarna vervolgbehandeling of palliatieve zorg startte? </t>
  </si>
  <si>
    <t>Nee
Ja
Definitief onbekend (loss to follow-up)</t>
  </si>
  <si>
    <t>TekstUitslag v4.1</t>
  </si>
  <si>
    <t>TekstUitslagTypeCodelijst</t>
  </si>
  <si>
    <t>Indien ja, wat is de datum van start vervolgbehandeling/palliatieve zorg?</t>
  </si>
  <si>
    <t>Zie tabblad DTVT</t>
  </si>
  <si>
    <t>Indien nee, wat is de laatste datum waarop bekend is dat nog geen progressie was vastgesteld?</t>
  </si>
  <si>
    <t>Contact v3.1</t>
  </si>
  <si>
    <t>Meest recente contact</t>
  </si>
  <si>
    <t>Contacttype</t>
  </si>
  <si>
    <t>ContactTypeCodelijst</t>
  </si>
  <si>
    <t>Is de patiënt overleden?</t>
  </si>
  <si>
    <t>Nee
Ja</t>
  </si>
  <si>
    <t>Indien ja, wat is de overlijdensdatum?</t>
  </si>
  <si>
    <t>Onder voorwaarden</t>
  </si>
  <si>
    <t>Slimmer uitvragen met Is de patient overleden?</t>
  </si>
  <si>
    <t>Indien nee, wat is de laatste datum waarop bekend is dat de patiënt in leven is?</t>
  </si>
  <si>
    <t>Definitie KWR</t>
  </si>
  <si>
    <t>Code DT/VT</t>
  </si>
  <si>
    <t>Omschrijving DT/VT</t>
  </si>
  <si>
    <t>ICD-10 code</t>
  </si>
  <si>
    <t>ICD-10 omschrijving</t>
  </si>
  <si>
    <t>Snomed code</t>
  </si>
  <si>
    <t>Snomedomschrijving</t>
  </si>
  <si>
    <t>DBC-code</t>
  </si>
  <si>
    <t>DBC-omschrijving</t>
  </si>
  <si>
    <t>opnemen in de DT</t>
  </si>
  <si>
    <t>Opnemen in de VT</t>
  </si>
  <si>
    <t>Behandeldatum, Datum operatie, Type operatie</t>
  </si>
  <si>
    <t>0000073486</t>
  </si>
  <si>
    <t>decompressieve craniotomie</t>
  </si>
  <si>
    <t>Craniotomy and decompression of brain (procedure)</t>
  </si>
  <si>
    <t>0000073411</t>
  </si>
  <si>
    <t>craniotomie en biopsie van laesie van hersenen </t>
  </si>
  <si>
    <t>Craniotomy with biopsy of lesion of brain (procedure)</t>
  </si>
  <si>
    <t>0000075644</t>
  </si>
  <si>
    <t>functionele MRI van hersenen</t>
  </si>
  <si>
    <t>Magnetic resonance imaging of brain with functional imaging (procedure)</t>
  </si>
  <si>
    <t>0000088486</t>
  </si>
  <si>
    <t>MRI van hoofd en hals</t>
  </si>
  <si>
    <t>Magnetic resonance imaging of head and neck (procedure)</t>
  </si>
  <si>
    <t>0000088487</t>
  </si>
  <si>
    <t>MRI van hoofd en hals met intraveneus contrast</t>
  </si>
  <si>
    <t>Magnetic resonance imaging of head and neck with contrast (procedure)</t>
  </si>
  <si>
    <t>0000061357</t>
  </si>
  <si>
    <t>glioblastoom</t>
  </si>
  <si>
    <t>C71.9</t>
  </si>
  <si>
    <t>Maligne neoplasma van hersenen, niet gespecificeerd</t>
  </si>
  <si>
    <t>Glioblastoma multiforme (disorder)</t>
  </si>
  <si>
    <t>0202</t>
  </si>
  <si>
    <t>Primair maligne neoplasma intracerebraal</t>
  </si>
  <si>
    <t>0000059503</t>
  </si>
  <si>
    <t>glioblastoom van nervus opticus</t>
  </si>
  <si>
    <t>C72.3</t>
  </si>
  <si>
    <t>Maligne neoplasma van nervus opticus</t>
  </si>
  <si>
    <t>Malignant optic glioma (disorder)</t>
  </si>
  <si>
    <t>0212</t>
  </si>
  <si>
    <t>Primair neoplasma extracerebraal (benigne of maligne)</t>
  </si>
  <si>
    <t>0000059504</t>
  </si>
  <si>
    <t>glioblastoom van myelum</t>
  </si>
  <si>
    <t>C72.0</t>
  </si>
  <si>
    <t>Maligne neoplasma van ruggenmerg</t>
  </si>
  <si>
    <t>Malignant glioma of spinal cord (disorder)</t>
  </si>
  <si>
    <t>0232</t>
  </si>
  <si>
    <t>Primair neoplasma extraspinaal/epiduraal/wervelkolom (benigne of maligne)</t>
  </si>
  <si>
    <t>0000059502</t>
  </si>
  <si>
    <t>glioblastoom van hersenstam</t>
  </si>
  <si>
    <t>C71.7</t>
  </si>
  <si>
    <t>Maligne neoplasma van hersenstam</t>
  </si>
  <si>
    <t>Malignant glioma of brainstem (disorder)</t>
  </si>
  <si>
    <t>0000059501</t>
  </si>
  <si>
    <t>glioblastoma multiforme van myelum</t>
  </si>
  <si>
    <t>Glioblastoma multiforme of spinal cord (disorder)</t>
  </si>
  <si>
    <t>0000037979</t>
  </si>
  <si>
    <t>glioblastoma multiforme van hersenen</t>
  </si>
  <si>
    <t>Glioblastoma multiforme of brain (disorder)</t>
  </si>
  <si>
    <t>6113</t>
  </si>
  <si>
    <t>Maligniteit CZS</t>
  </si>
  <si>
    <t>0000039492</t>
  </si>
  <si>
    <t>astrocytoom van hersenen</t>
  </si>
  <si>
    <t>Astrocytoma of brain (disorder)</t>
  </si>
  <si>
    <t>02</t>
  </si>
  <si>
    <t>Neoplasmata</t>
  </si>
  <si>
    <t>0000058633</t>
  </si>
  <si>
    <t>astrocytoom van myelum</t>
  </si>
  <si>
    <t>Astrocytoma of spinal cord (disorder)</t>
  </si>
  <si>
    <t>0222</t>
  </si>
  <si>
    <t>Primair neoplasma intraspinaal (benigne of maligne)</t>
  </si>
  <si>
    <t>0000001419</t>
  </si>
  <si>
    <t>astrocytoom van retina</t>
  </si>
  <si>
    <t>C69.2</t>
  </si>
  <si>
    <t>Maligne neoplasma van retina</t>
  </si>
  <si>
    <t>Astrocytoma of retina (disorder)</t>
  </si>
  <si>
    <t>659</t>
  </si>
  <si>
    <t>Overige pathologie retina</t>
  </si>
  <si>
    <t>0000087680</t>
  </si>
  <si>
    <t>astrocytoom van hersenstam</t>
  </si>
  <si>
    <t>Astrocytoma of brain stem (disorder)</t>
  </si>
  <si>
    <t>0000059966</t>
  </si>
  <si>
    <t>maligne astrocytoom van nervus opticus</t>
  </si>
  <si>
    <t>Malignant astrocytoma of optic nerve (disorder)</t>
  </si>
  <si>
    <t>0000058605</t>
  </si>
  <si>
    <t>anaplastisch astrocytoom van myelum</t>
  </si>
  <si>
    <t>Anaplastic astrocytoma of spinal cord (disorder)</t>
  </si>
  <si>
    <t>0000037976</t>
  </si>
  <si>
    <t>anaplastisch astrocytoom van hersenen</t>
  </si>
  <si>
    <t>Anaplastic astrocytoma of brain (disorder)</t>
  </si>
  <si>
    <t>0000052093</t>
  </si>
  <si>
    <t>laaggradig astrocytoom</t>
  </si>
  <si>
    <t>D43.9</t>
  </si>
  <si>
    <t>Neoplasma met onzeker of onbekend gedrag van centraal zenuwstelsel, niet gespecificeerd</t>
  </si>
  <si>
    <t>Low grade astrocytoma (disorder)</t>
  </si>
  <si>
    <t>0000052110</t>
  </si>
  <si>
    <t>pilocytair astrocytoom</t>
  </si>
  <si>
    <t>M9421/1</t>
  </si>
  <si>
    <t>Pilocytair astrocytoom</t>
  </si>
  <si>
    <t>Pilocytic astrocytoma (disorder)</t>
  </si>
  <si>
    <t>0000060596</t>
  </si>
  <si>
    <t>pilocytair astrocytoom van cerebellum</t>
  </si>
  <si>
    <t>C71.6</t>
  </si>
  <si>
    <t>Maligne neoplasma van cerebellum</t>
  </si>
  <si>
    <t>Pilocytic astrocytoma of cerebellum (disorder)</t>
  </si>
  <si>
    <t>Ja
Nee
Onbekend</t>
  </si>
  <si>
    <t>0000068300</t>
  </si>
  <si>
    <t>multidisciplinair overleg </t>
  </si>
  <si>
    <t>Chemo-radiotherapie</t>
  </si>
  <si>
    <t>Geen DTVT codes?</t>
  </si>
  <si>
    <t>Alleen radiotherapie</t>
  </si>
  <si>
    <t>0000075168</t>
  </si>
  <si>
    <t>intra-operatieve radiotherapie</t>
  </si>
  <si>
    <t>Intraoperative radiotherapy (procedure)</t>
  </si>
  <si>
    <t>Alleen chemotherapie</t>
  </si>
  <si>
    <t>0000074138</t>
  </si>
  <si>
    <t>toedienen van chemotherapie per infuus bij niet-gemetastaseerde tumor</t>
  </si>
  <si>
    <t>Administration of chemotherapy by infusion (procedure)</t>
  </si>
  <si>
    <t>0000074139</t>
  </si>
  <si>
    <t>toedienen van chemotherapie per injectie bij niet-gemetastaseerde tumor</t>
  </si>
  <si>
    <t>Administration of chemotherapy by injection (procedure)</t>
  </si>
  <si>
    <t>0000074140</t>
  </si>
  <si>
    <t>toedienen van chemotherapie per infuus bij gemetastaseerde tumor</t>
  </si>
  <si>
    <t>0000074141</t>
  </si>
  <si>
    <t>toedienen van chemotherapie per injectie bij gemetastaseerde tumor </t>
  </si>
  <si>
    <t>0000073947</t>
  </si>
  <si>
    <t>intrathecaal toedienen van chemotherapie bij gemetastaseerde tumor</t>
  </si>
  <si>
    <t>Intrathecal administration of chemotherapy (procedure)</t>
  </si>
  <si>
    <t>0000075051</t>
  </si>
  <si>
    <t>intrathecaal toedienen van chemotherapie bij niet-gemetastaseerde tumor</t>
  </si>
  <si>
    <t>definitie</t>
  </si>
  <si>
    <t>Codestelsel</t>
  </si>
  <si>
    <t>Code</t>
  </si>
  <si>
    <t>Opmerkingen</t>
  </si>
  <si>
    <t>ATC codelijst</t>
  </si>
  <si>
    <t>Enkel chemotherapie voor glioblastoom
Vraag aan AO: welke ATC codes horen hierbij?</t>
  </si>
  <si>
    <t>Blad: Documentgegevens</t>
  </si>
  <si>
    <t>Item: Status</t>
  </si>
  <si>
    <t>Concept</t>
  </si>
  <si>
    <t>Definitief</t>
  </si>
  <si>
    <t>Tabblad: Sjabloon analyse KR dataset</t>
  </si>
  <si>
    <t>Item: Verplicht?</t>
  </si>
  <si>
    <t>code</t>
  </si>
  <si>
    <t>nee</t>
  </si>
  <si>
    <t>ja (verplicht)</t>
  </si>
  <si>
    <t>ja (voorwaardelijk onder bepaalde omstandigheden)</t>
  </si>
  <si>
    <t>Item: Datatype</t>
  </si>
  <si>
    <t>afkorting</t>
  </si>
  <si>
    <t>uitleg afkorting</t>
  </si>
  <si>
    <t>Alle datatypen toegestaan</t>
  </si>
  <si>
    <t>Boolean</t>
  </si>
  <si>
    <t>Coded descriptor</t>
  </si>
  <si>
    <t>Coded ordinal</t>
  </si>
  <si>
    <t>Encoded data</t>
  </si>
  <si>
    <t>Instance identifier</t>
  </si>
  <si>
    <t>Integer</t>
  </si>
  <si>
    <t>Physical quantity</t>
  </si>
  <si>
    <t>String</t>
  </si>
  <si>
    <t>Timestamp</t>
  </si>
  <si>
    <t>V</t>
  </si>
  <si>
    <t>Verwijzing (naar andere zib)</t>
  </si>
  <si>
    <t>C</t>
  </si>
  <si>
    <t>Container</t>
  </si>
  <si>
    <t>Item: Kardinaliteit</t>
  </si>
  <si>
    <t>hoeft niet ingevuld, mag wel maar max. 1 keer</t>
  </si>
  <si>
    <t>hoeft niet ingevuld, mag, geen maximum</t>
  </si>
  <si>
    <t>moet precies 1 keer voorkomen</t>
  </si>
  <si>
    <t>moet minimaal 1 keer voorkomen</t>
  </si>
  <si>
    <t>Item: Mapping</t>
  </si>
  <si>
    <t>variabele geheel conform zib-dataelement</t>
  </si>
  <si>
    <t>datatype niet conform zib-dataelement</t>
  </si>
  <si>
    <t>codelijst / waardelijst niet conform codelijst zib-dataelement, of codelijst zib kent (nog) niet de benodigde codes</t>
  </si>
  <si>
    <t>definitie niet conform zib</t>
  </si>
  <si>
    <t>meerdere dataelementen uit één zib nodig om variabele te kunnen afleiden</t>
  </si>
  <si>
    <t>dataelementen uit meer dan één zib nodig om variabele te kunnen afleiden</t>
  </si>
  <si>
    <t>eenvoudige combinatie van voorgaande factoren</t>
  </si>
  <si>
    <t>complexe combinatie van voorgaande factoren</t>
  </si>
  <si>
    <t>variabele kan niet in zib-dataelement uitgedrukt worden</t>
  </si>
  <si>
    <t>Item: BgZ</t>
  </si>
  <si>
    <t>geen zib</t>
  </si>
  <si>
    <t>zib, BgZ</t>
  </si>
  <si>
    <t>zib, niet-BgZ</t>
  </si>
  <si>
    <t>Item: Bewerkingtype</t>
  </si>
  <si>
    <t>geen bewerking</t>
  </si>
  <si>
    <t>1 op 1 om te zetten, eenvoudige mapping van zib-dataelement naar variabele mogelijk</t>
  </si>
  <si>
    <t>samengestelde of complexe mapping of bewerking van zib-dataelement naar variabele nodig</t>
  </si>
  <si>
    <t>Item: Wijzigingsverzoek zib</t>
  </si>
  <si>
    <t>ja, wijzigingsverzoek op bestaande zib</t>
  </si>
  <si>
    <t>ja, verzoek ontwikkeling nieuwe zib</t>
  </si>
  <si>
    <t>Item: Relevant voor primaire zorgproces</t>
  </si>
  <si>
    <t>Item: Waar in zorgproces wordt gegeven vastgelegd</t>
  </si>
  <si>
    <t>Deze waardelijst kan per registratie en/of ziekenhuis verschillen en moet voor elke analyse aan de eigen situatie aangepast worden.</t>
  </si>
  <si>
    <t>registratie / aanmelding</t>
  </si>
  <si>
    <t>anamnese (1e poli bezoek)</t>
  </si>
  <si>
    <t>lichamelijk onderzoek (1e poli bezoek)</t>
  </si>
  <si>
    <t>aanvullend onderzoek (labonderzoek)</t>
  </si>
  <si>
    <t>aanvullend onderzoek (beeldvormend onderzoek)</t>
  </si>
  <si>
    <t>pathologie</t>
  </si>
  <si>
    <t>conclusie en beleid</t>
  </si>
  <si>
    <t>MDO (preoperatief)</t>
  </si>
  <si>
    <t>MDO (preoperatief + post CTx/RTx)</t>
  </si>
  <si>
    <t>MDO (postoperatief)</t>
  </si>
  <si>
    <t>MDO (postoperatief + post CTx/RTx)</t>
  </si>
  <si>
    <t>MDO (post CTx/RTX)</t>
  </si>
  <si>
    <t>behandeling (operatief)</t>
  </si>
  <si>
    <t>behandeling (niet-operatief)</t>
  </si>
  <si>
    <t>beloop (complicaties en reïnterventies)</t>
  </si>
  <si>
    <t>follow-up</t>
  </si>
  <si>
    <t>Item: Door wie wordt gegeven vastgelegd</t>
  </si>
  <si>
    <t>patiënt</t>
  </si>
  <si>
    <t>baliemedewerker</t>
  </si>
  <si>
    <t>secretariaat</t>
  </si>
  <si>
    <t>verpleegkundige</t>
  </si>
  <si>
    <t>verpleegkundig specialist</t>
  </si>
  <si>
    <t>casemanager</t>
  </si>
  <si>
    <t>physician assistent</t>
  </si>
  <si>
    <t>coassistent</t>
  </si>
  <si>
    <t>arts-assistent niet in opleiding</t>
  </si>
  <si>
    <t>arts-assistent in opleiding</t>
  </si>
  <si>
    <t>anesthesist</t>
  </si>
  <si>
    <t>cardioloog</t>
  </si>
  <si>
    <t>chirurg</t>
  </si>
  <si>
    <t>internist</t>
  </si>
  <si>
    <t>patholoog</t>
  </si>
  <si>
    <t>radioloog</t>
  </si>
  <si>
    <t>Datadictionary QRNS Glioblastoom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</si>
</sst>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Open Sans"/>
      <family val="2"/>
    </font>
    <font>
      <sz val="10"/>
      <color theme="1"/>
      <name val="Arial"/>
      <family val="2"/>
    </font>
    <font>
      <b/>
      <sz val="10"/>
      <color rgb="FFFFFFFF"/>
      <name val="Open Sans"/>
      <family val="2"/>
    </font>
    <font>
      <sz val="10"/>
      <color rgb="FFFFFFFF"/>
      <name val="Open Sans"/>
      <family val="2"/>
    </font>
    <font>
      <sz val="10"/>
      <color rgb="FF000000"/>
      <name val="Open Sans"/>
      <family val="2"/>
    </font>
    <font>
      <b/>
      <sz val="10"/>
      <color rgb="FF000000"/>
      <name val="Open Sans"/>
      <family val="2"/>
    </font>
    <font>
      <sz val="11"/>
      <color theme="1"/>
      <name val="Calibri"/>
      <family val="2"/>
    </font>
    <font>
      <sz val="14"/>
      <color theme="0"/>
      <name val="Source Sans Pro"/>
      <family val="2"/>
    </font>
    <font>
      <i/>
      <sz val="11"/>
      <color theme="0"/>
      <name val="Source Sans Pro"/>
      <family val="2"/>
    </font>
    <font>
      <i/>
      <sz val="11"/>
      <color theme="1"/>
      <name val="Source Sans Pro"/>
      <family val="2"/>
    </font>
    <font>
      <sz val="12"/>
      <color theme="1"/>
      <name val="Source Sans Pro"/>
      <family val="2"/>
    </font>
    <font>
      <i/>
      <sz val="12"/>
      <color theme="1"/>
      <name val="Source Sans Pro"/>
      <family val="2"/>
    </font>
    <font>
      <sz val="11"/>
      <color theme="1"/>
      <name val="Source Sans Pro"/>
      <family val="2"/>
    </font>
    <font>
      <b/>
      <sz val="11"/>
      <color theme="1"/>
      <name val="Source Sans Pro"/>
      <family val="2"/>
    </font>
    <font>
      <b/>
      <i/>
      <sz val="11"/>
      <color theme="1"/>
      <name val="Source Sans Pro"/>
      <family val="2"/>
    </font>
    <font>
      <b/>
      <sz val="9"/>
      <color theme="1"/>
      <name val="Source Sans Pro"/>
      <family val="2"/>
    </font>
    <font>
      <b/>
      <sz val="9"/>
      <color rgb="FF000000"/>
      <name val="Source Sans Pro"/>
      <family val="2"/>
    </font>
    <font>
      <i/>
      <sz val="9"/>
      <color theme="1"/>
      <name val="Source Sans Pro"/>
      <family val="2"/>
    </font>
    <font>
      <i/>
      <sz val="9"/>
      <color rgb="FF000000"/>
      <name val="Source Sans Pro"/>
      <family val="2"/>
    </font>
    <font>
      <i/>
      <sz val="11"/>
      <color theme="0" tint="-0.34998626667073579"/>
      <name val="Source Sans Pro"/>
      <family val="2"/>
    </font>
    <font>
      <b/>
      <sz val="9"/>
      <color indexed="81"/>
      <name val="Tahoma"/>
      <family val="2"/>
    </font>
    <font>
      <sz val="9"/>
      <color indexed="81"/>
      <name val="Tahoma"/>
      <family val="2"/>
    </font>
    <font>
      <b/>
      <sz val="10"/>
      <color rgb="FFFFFFFF"/>
      <name val="Calibri"/>
      <family val="2"/>
    </font>
    <font>
      <b/>
      <sz val="10"/>
      <name val="Calibri"/>
      <family val="2"/>
    </font>
    <font>
      <sz val="10"/>
      <color rgb="FF000000"/>
      <name val="Calibri"/>
      <family val="2"/>
    </font>
    <font>
      <sz val="11"/>
      <name val="Calibri"/>
      <family val="2"/>
      <scheme val="minor"/>
    </font>
    <font>
      <sz val="10"/>
      <name val="Calibri"/>
      <family val="2"/>
    </font>
    <font>
      <u/>
      <sz val="10"/>
      <color rgb="FF0000FF"/>
      <name val="Calibri"/>
      <family val="2"/>
    </font>
    <font>
      <u/>
      <sz val="11"/>
      <color theme="10"/>
      <name val="Calibri"/>
      <family val="2"/>
      <scheme val="minor"/>
    </font>
    <font>
      <sz val="12"/>
      <color theme="1"/>
      <name val="Calibri"/>
      <family val="2"/>
    </font>
    <font>
      <sz val="12"/>
      <color rgb="FF333333"/>
      <name val="Arial"/>
      <family val="2"/>
    </font>
    <font>
      <b/>
      <sz val="11"/>
      <color rgb="FFE16E22"/>
      <name val="Calibri"/>
      <family val="2"/>
    </font>
    <font>
      <sz val="11"/>
      <color rgb="FF000000"/>
      <name val="Calibri"/>
      <family val="2"/>
    </font>
    <font>
      <b/>
      <sz val="11"/>
      <color theme="1"/>
      <name val="Calibri"/>
      <family val="2"/>
    </font>
    <font>
      <b/>
      <sz val="11"/>
      <color theme="0"/>
      <name val="Calibri"/>
      <family val="2"/>
    </font>
    <font>
      <sz val="16"/>
      <name val="Calibri"/>
      <family val="2"/>
    </font>
    <font>
      <b/>
      <u/>
      <sz val="11"/>
      <color theme="1"/>
      <name val="Calibri"/>
      <family val="2"/>
    </font>
    <font>
      <i/>
      <sz val="11"/>
      <color theme="1"/>
      <name val="Calibri"/>
      <family val="2"/>
    </font>
    <font>
      <b/>
      <sz val="11"/>
      <color theme="0"/>
      <name val="Calibri"/>
      <family val="2"/>
      <scheme val="minor"/>
    </font>
    <font>
      <b/>
      <sz val="11"/>
      <color theme="1"/>
      <name val="Calibri"/>
      <family val="2"/>
      <scheme val="minor"/>
    </font>
    <font>
      <i/>
      <sz val="11"/>
      <color theme="1"/>
      <name val="Calibri"/>
      <family val="2"/>
      <scheme val="minor"/>
    </font>
    <font>
      <sz val="11"/>
      <color rgb="FF000000"/>
      <name val="Calibri"/>
      <family val="2"/>
      <scheme val="minor"/>
    </font>
    <font>
      <sz val="11"/>
      <name val="Calibri"/>
      <family val="2"/>
    </font>
  </fonts>
  <fills count="31">
    <fill>
      <patternFill patternType="none"/>
    </fill>
    <fill>
      <patternFill patternType="gray125"/>
    </fill>
    <fill>
      <patternFill patternType="solid">
        <fgColor theme="5" tint="0.59999389629810485"/>
        <bgColor indexed="64"/>
      </patternFill>
    </fill>
    <fill>
      <patternFill patternType="solid">
        <fgColor theme="7"/>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4FF8B"/>
        <bgColor indexed="64"/>
      </patternFill>
    </fill>
    <fill>
      <patternFill patternType="solid">
        <fgColor rgb="FFFEE39C"/>
        <bgColor indexed="64"/>
      </patternFill>
    </fill>
    <fill>
      <patternFill patternType="solid">
        <fgColor theme="0"/>
        <bgColor indexed="64"/>
      </patternFill>
    </fill>
    <fill>
      <patternFill patternType="solid">
        <fgColor rgb="FFFFC000"/>
        <bgColor rgb="FF000000"/>
      </patternFill>
    </fill>
    <fill>
      <patternFill patternType="solid">
        <fgColor rgb="FFFCE4D6"/>
        <bgColor rgb="FF000000"/>
      </patternFill>
    </fill>
    <fill>
      <patternFill patternType="solid">
        <fgColor rgb="FFED7D31"/>
        <bgColor rgb="FF000000"/>
      </patternFill>
    </fill>
    <fill>
      <patternFill patternType="solid">
        <fgColor theme="8" tint="-0.49998474074526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DF0E9"/>
        <bgColor indexed="64"/>
      </patternFill>
    </fill>
    <fill>
      <patternFill patternType="solid">
        <fgColor rgb="FFFDF0E9"/>
        <bgColor rgb="FF000000"/>
      </patternFill>
    </fill>
    <fill>
      <patternFill patternType="solid">
        <fgColor rgb="FF000099"/>
        <bgColor rgb="FFFFFFFF"/>
      </patternFill>
    </fill>
    <fill>
      <patternFill patternType="solid">
        <fgColor rgb="FFE3E3E3"/>
        <bgColor rgb="FFFFFFFF"/>
      </patternFill>
    </fill>
    <fill>
      <patternFill patternType="solid">
        <fgColor rgb="FFE8D7BE"/>
        <bgColor rgb="FFFFFFFF"/>
      </patternFill>
    </fill>
    <fill>
      <patternFill patternType="solid">
        <fgColor rgb="FFFFFF00"/>
        <bgColor indexed="64"/>
      </patternFill>
    </fill>
    <fill>
      <patternFill patternType="solid">
        <fgColor rgb="FFE3E3E3"/>
      </patternFill>
    </fill>
    <fill>
      <patternFill patternType="solid">
        <fgColor rgb="FFE8D7BE"/>
      </patternFill>
    </fill>
    <fill>
      <patternFill patternType="solid">
        <fgColor theme="4" tint="0.59999389629810485"/>
        <bgColor indexed="64"/>
      </patternFill>
    </fill>
    <fill>
      <patternFill patternType="solid">
        <fgColor theme="3" tint="0.39997558519241921"/>
        <bgColor indexed="64"/>
      </patternFill>
    </fill>
    <fill>
      <patternFill patternType="solid">
        <fgColor theme="8"/>
        <bgColor indexed="64"/>
      </patternFill>
    </fill>
    <fill>
      <patternFill patternType="solid">
        <fgColor rgb="FFFFFFFF"/>
        <bgColor rgb="FF000000"/>
      </patternFill>
    </fill>
    <fill>
      <patternFill patternType="solid">
        <fgColor rgb="FFDDF5FD"/>
        <bgColor indexed="64"/>
      </patternFill>
    </fill>
    <fill>
      <patternFill patternType="solid">
        <fgColor theme="5"/>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808080"/>
      </left>
      <right style="thin">
        <color rgb="FF808080"/>
      </right>
      <top style="thin">
        <color rgb="FF808080"/>
      </top>
      <bottom style="thin">
        <color rgb="FF808080"/>
      </bottom>
      <diagonal/>
    </border>
    <border>
      <left/>
      <right/>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style="thin">
        <color auto="1"/>
      </top>
      <bottom style="thin">
        <color theme="0" tint="-0.14996795556505021"/>
      </bottom>
      <diagonal/>
    </border>
    <border>
      <left/>
      <right style="thin">
        <color auto="1"/>
      </right>
      <top style="thin">
        <color auto="1"/>
      </top>
      <bottom style="thin">
        <color theme="0" tint="-0.14996795556505021"/>
      </bottom>
      <diagonal/>
    </border>
    <border>
      <left/>
      <right/>
      <top/>
      <bottom style="thin">
        <color theme="0" tint="-0.14996795556505021"/>
      </bottom>
      <diagonal/>
    </border>
    <border>
      <left style="thin">
        <color auto="1"/>
      </left>
      <right style="thin">
        <color auto="1"/>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auto="1"/>
      </left>
      <right style="thin">
        <color auto="1"/>
      </right>
      <top style="thin">
        <color theme="0" tint="-0.14996795556505021"/>
      </top>
      <bottom/>
      <diagonal/>
    </border>
    <border>
      <left/>
      <right style="thin">
        <color auto="1"/>
      </right>
      <top style="thin">
        <color theme="0" tint="-0.14996795556505021"/>
      </top>
      <bottom/>
      <diagonal/>
    </border>
    <border>
      <left style="thin">
        <color auto="1"/>
      </left>
      <right style="thin">
        <color auto="1"/>
      </right>
      <top style="thin">
        <color theme="0" tint="-0.14996795556505021"/>
      </top>
      <bottom style="thin">
        <color auto="1"/>
      </bottom>
      <diagonal/>
    </border>
    <border>
      <left/>
      <right/>
      <top style="thin">
        <color theme="0" tint="-0.14996795556505021"/>
      </top>
      <bottom/>
      <diagonal/>
    </border>
    <border>
      <left style="thin">
        <color auto="1"/>
      </left>
      <right style="thin">
        <color auto="1"/>
      </right>
      <top/>
      <bottom style="thin">
        <color theme="0" tint="-0.1499679555650502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5">
    <xf numFmtId="0" fontId="0" fillId="0" borderId="0"/>
    <xf numFmtId="0" fontId="3" fillId="0" borderId="0"/>
    <xf numFmtId="164" fontId="5" fillId="0" borderId="0" applyFont="0" applyFill="0" applyBorder="0" applyAlignment="0" applyProtection="0"/>
    <xf numFmtId="0" fontId="32" fillId="0" borderId="0" applyNumberFormat="0" applyFill="0" applyBorder="0" applyAlignment="0" applyProtection="0"/>
    <xf numFmtId="0" fontId="30" fillId="0" borderId="0"/>
  </cellStyleXfs>
  <cellXfs count="281">
    <xf numFmtId="0" fontId="0" fillId="0" borderId="0" xfId="0"/>
    <xf numFmtId="0" fontId="6" fillId="11" borderId="0" xfId="0" applyFont="1" applyFill="1"/>
    <xf numFmtId="0" fontId="7" fillId="11" borderId="0" xfId="0" applyFont="1" applyFill="1"/>
    <xf numFmtId="0" fontId="8" fillId="12" borderId="0" xfId="0" applyFont="1" applyFill="1"/>
    <xf numFmtId="0" fontId="8" fillId="0" borderId="0" xfId="0" applyFont="1"/>
    <xf numFmtId="0" fontId="8" fillId="0" borderId="4" xfId="0" applyFont="1" applyBorder="1"/>
    <xf numFmtId="0" fontId="8" fillId="13" borderId="4" xfId="0" applyFont="1" applyFill="1" applyBorder="1"/>
    <xf numFmtId="0" fontId="8" fillId="0" borderId="0" xfId="0" applyFont="1" applyAlignment="1">
      <alignment vertical="top"/>
    </xf>
    <xf numFmtId="0" fontId="8" fillId="12" borderId="0" xfId="0" applyFont="1" applyFill="1" applyAlignment="1">
      <alignment vertical="top"/>
    </xf>
    <xf numFmtId="0" fontId="9" fillId="12" borderId="0" xfId="0" applyFont="1" applyFill="1" applyAlignment="1">
      <alignment wrapText="1"/>
    </xf>
    <xf numFmtId="0" fontId="8" fillId="0" borderId="4" xfId="0" applyFont="1" applyBorder="1" applyAlignment="1">
      <alignment vertical="top"/>
    </xf>
    <xf numFmtId="0" fontId="8" fillId="0" borderId="4" xfId="0" applyFont="1" applyBorder="1" applyAlignment="1">
      <alignment vertical="top" wrapText="1"/>
    </xf>
    <xf numFmtId="0" fontId="8" fillId="0" borderId="4" xfId="0" applyFont="1" applyBorder="1" applyAlignment="1">
      <alignment wrapText="1"/>
    </xf>
    <xf numFmtId="0" fontId="8" fillId="0" borderId="4" xfId="0" applyFont="1" applyBorder="1" applyAlignment="1">
      <alignment horizontal="left"/>
    </xf>
    <xf numFmtId="0" fontId="8" fillId="0" borderId="4" xfId="0" applyFont="1" applyBorder="1" applyAlignment="1">
      <alignment horizontal="right"/>
    </xf>
    <xf numFmtId="0" fontId="10" fillId="0" borderId="0" xfId="0" applyFont="1"/>
    <xf numFmtId="0" fontId="11" fillId="14" borderId="0" xfId="0" applyFont="1" applyFill="1" applyAlignment="1">
      <alignment vertical="top"/>
    </xf>
    <xf numFmtId="0" fontId="12" fillId="14" borderId="0" xfId="0" applyFont="1" applyFill="1" applyAlignment="1">
      <alignment horizontal="center" vertical="top" wrapText="1"/>
    </xf>
    <xf numFmtId="0" fontId="14" fillId="15" borderId="0" xfId="0" applyFont="1" applyFill="1" applyAlignment="1">
      <alignment horizontal="center" vertical="top" wrapText="1"/>
    </xf>
    <xf numFmtId="0" fontId="15" fillId="15" borderId="0" xfId="0" applyFont="1" applyFill="1" applyAlignment="1">
      <alignment horizontal="left" vertical="top"/>
    </xf>
    <xf numFmtId="0" fontId="15" fillId="15" borderId="0" xfId="0" applyFont="1" applyFill="1" applyAlignment="1">
      <alignment horizontal="center" vertical="top" wrapText="1"/>
    </xf>
    <xf numFmtId="0" fontId="16" fillId="16" borderId="0" xfId="0" applyFont="1" applyFill="1" applyAlignment="1">
      <alignment horizontal="center" vertical="top" wrapText="1"/>
    </xf>
    <xf numFmtId="0" fontId="18" fillId="10" borderId="0" xfId="0" applyFont="1" applyFill="1" applyAlignment="1">
      <alignment horizontal="center" vertical="top" wrapText="1"/>
    </xf>
    <xf numFmtId="0" fontId="17" fillId="5" borderId="0" xfId="0" applyFont="1" applyFill="1" applyAlignment="1">
      <alignment vertical="top" wrapText="1"/>
    </xf>
    <xf numFmtId="0" fontId="13" fillId="17" borderId="0" xfId="0" applyFont="1" applyFill="1" applyAlignment="1">
      <alignment horizontal="center" vertical="top" wrapText="1"/>
    </xf>
    <xf numFmtId="0" fontId="13" fillId="5" borderId="0" xfId="0" applyFont="1" applyFill="1" applyAlignment="1">
      <alignment horizontal="right" vertical="top" wrapText="1"/>
    </xf>
    <xf numFmtId="0" fontId="19" fillId="17" borderId="0" xfId="0" applyFont="1" applyFill="1" applyAlignment="1">
      <alignment horizontal="center" vertical="top" wrapText="1"/>
    </xf>
    <xf numFmtId="0" fontId="20" fillId="18" borderId="0" xfId="0" applyFont="1" applyFill="1" applyAlignment="1">
      <alignment horizontal="center" vertical="top" wrapText="1"/>
    </xf>
    <xf numFmtId="0" fontId="21" fillId="17" borderId="0" xfId="0" applyFont="1" applyFill="1" applyAlignment="1">
      <alignment horizontal="center" vertical="top" wrapText="1"/>
    </xf>
    <xf numFmtId="0" fontId="18" fillId="17" borderId="0" xfId="0" applyFont="1" applyFill="1" applyAlignment="1">
      <alignment horizontal="center" vertical="top" wrapText="1"/>
    </xf>
    <xf numFmtId="49" fontId="21" fillId="5" borderId="0" xfId="0" applyNumberFormat="1" applyFont="1" applyFill="1" applyAlignment="1">
      <alignment horizontal="right" vertical="top" wrapText="1"/>
    </xf>
    <xf numFmtId="0" fontId="22" fillId="18" borderId="0" xfId="0" applyFont="1" applyFill="1" applyAlignment="1">
      <alignment horizontal="center" vertical="top" wrapText="1"/>
    </xf>
    <xf numFmtId="0" fontId="16" fillId="10" borderId="5" xfId="0" applyFont="1" applyFill="1" applyBorder="1" applyAlignment="1">
      <alignment vertical="top" wrapText="1"/>
    </xf>
    <xf numFmtId="0" fontId="18" fillId="10" borderId="5" xfId="0" applyFont="1" applyFill="1" applyBorder="1" applyAlignment="1">
      <alignment horizontal="center" vertical="top" wrapText="1"/>
    </xf>
    <xf numFmtId="0" fontId="17" fillId="10" borderId="0" xfId="0" applyFont="1" applyFill="1" applyAlignment="1">
      <alignment horizontal="right" vertical="top" wrapText="1"/>
    </xf>
    <xf numFmtId="0" fontId="13" fillId="10" borderId="0" xfId="0" applyFont="1" applyFill="1" applyAlignment="1">
      <alignment horizontal="right" vertical="top" wrapText="1"/>
    </xf>
    <xf numFmtId="0" fontId="19" fillId="17" borderId="1" xfId="0" applyFont="1" applyFill="1" applyBorder="1" applyAlignment="1">
      <alignment horizontal="center" vertical="top" wrapText="1"/>
    </xf>
    <xf numFmtId="0" fontId="21" fillId="17" borderId="1" xfId="0" applyFont="1" applyFill="1" applyBorder="1" applyAlignment="1">
      <alignment horizontal="center" vertical="top" wrapText="1"/>
    </xf>
    <xf numFmtId="0" fontId="13" fillId="17" borderId="1" xfId="0" applyFont="1" applyFill="1" applyBorder="1" applyAlignment="1">
      <alignment horizontal="center" vertical="top" wrapText="1"/>
    </xf>
    <xf numFmtId="0" fontId="4" fillId="0" borderId="6" xfId="0" applyFont="1" applyBorder="1" applyAlignment="1">
      <alignment horizontal="left" vertical="top" wrapText="1"/>
    </xf>
    <xf numFmtId="0" fontId="20" fillId="18" borderId="1" xfId="0" applyFont="1" applyFill="1" applyBorder="1" applyAlignment="1">
      <alignment horizontal="center" vertical="top" wrapText="1"/>
    </xf>
    <xf numFmtId="0" fontId="22" fillId="18" borderId="1" xfId="0" applyFont="1" applyFill="1" applyBorder="1" applyAlignment="1">
      <alignment horizontal="center" vertical="top" wrapText="1"/>
    </xf>
    <xf numFmtId="0" fontId="20" fillId="18" borderId="3" xfId="0" applyFont="1" applyFill="1" applyBorder="1" applyAlignment="1">
      <alignment horizontal="center" vertical="top" wrapText="1"/>
    </xf>
    <xf numFmtId="0" fontId="22" fillId="18" borderId="3" xfId="0" applyFont="1" applyFill="1" applyBorder="1" applyAlignment="1">
      <alignment horizontal="center" vertical="top" wrapText="1"/>
    </xf>
    <xf numFmtId="0" fontId="23" fillId="10" borderId="0" xfId="0" applyFont="1" applyFill="1" applyAlignment="1">
      <alignment vertical="top"/>
    </xf>
    <xf numFmtId="0" fontId="26" fillId="19" borderId="7" xfId="0" applyFont="1" applyFill="1" applyBorder="1" applyAlignment="1">
      <alignment horizontal="center" vertical="top"/>
    </xf>
    <xf numFmtId="0" fontId="26" fillId="19" borderId="1" xfId="0" applyFont="1" applyFill="1" applyBorder="1" applyAlignment="1">
      <alignment vertical="top" wrapText="1"/>
    </xf>
    <xf numFmtId="0" fontId="27" fillId="19" borderId="8" xfId="0" applyFont="1" applyFill="1" applyBorder="1" applyAlignment="1">
      <alignment vertical="top" wrapText="1"/>
    </xf>
    <xf numFmtId="0" fontId="26" fillId="19" borderId="8" xfId="0" applyFont="1" applyFill="1" applyBorder="1" applyAlignment="1">
      <alignment vertical="top" wrapText="1"/>
    </xf>
    <xf numFmtId="0" fontId="28" fillId="20" borderId="7" xfId="0" applyFont="1" applyFill="1" applyBorder="1" applyAlignment="1">
      <alignment horizontal="center" vertical="top"/>
    </xf>
    <xf numFmtId="0" fontId="28" fillId="20" borderId="9" xfId="0" applyFont="1" applyFill="1" applyBorder="1" applyAlignment="1">
      <alignment horizontal="center" vertical="top"/>
    </xf>
    <xf numFmtId="0" fontId="28" fillId="20" borderId="1" xfId="0" applyFont="1" applyFill="1" applyBorder="1" applyAlignment="1">
      <alignment vertical="top" wrapText="1"/>
    </xf>
    <xf numFmtId="0" fontId="0" fillId="0" borderId="0" xfId="0" applyAlignment="1">
      <alignment vertical="top"/>
    </xf>
    <xf numFmtId="0" fontId="29" fillId="0" borderId="0" xfId="0" applyFont="1"/>
    <xf numFmtId="0" fontId="30" fillId="0" borderId="10" xfId="0" applyFont="1" applyBorder="1" applyAlignment="1">
      <alignment vertical="top" wrapText="1"/>
    </xf>
    <xf numFmtId="0" fontId="30" fillId="0" borderId="1" xfId="0" applyFont="1" applyBorder="1"/>
    <xf numFmtId="0" fontId="30" fillId="0" borderId="11" xfId="0" applyFont="1" applyBorder="1" applyAlignment="1">
      <alignment horizontal="center" vertical="top"/>
    </xf>
    <xf numFmtId="0" fontId="30" fillId="0" borderId="1" xfId="0" applyFont="1" applyBorder="1" applyAlignment="1">
      <alignment vertical="top" wrapText="1"/>
    </xf>
    <xf numFmtId="0" fontId="28" fillId="21" borderId="1" xfId="0" applyFont="1" applyFill="1" applyBorder="1" applyAlignment="1">
      <alignment horizontal="center" vertical="top"/>
    </xf>
    <xf numFmtId="0" fontId="28" fillId="21" borderId="11" xfId="0" applyFont="1" applyFill="1" applyBorder="1" applyAlignment="1">
      <alignment horizontal="center" vertical="top"/>
    </xf>
    <xf numFmtId="0" fontId="28" fillId="21" borderId="1" xfId="0" applyFont="1" applyFill="1" applyBorder="1" applyAlignment="1">
      <alignment vertical="top" wrapText="1"/>
    </xf>
    <xf numFmtId="0" fontId="30" fillId="0" borderId="7" xfId="0" applyFont="1" applyBorder="1" applyAlignment="1">
      <alignment horizontal="center" vertical="top"/>
    </xf>
    <xf numFmtId="0" fontId="31" fillId="0" borderId="1" xfId="0" applyFont="1" applyBorder="1" applyAlignment="1">
      <alignment vertical="top" wrapText="1"/>
    </xf>
    <xf numFmtId="0" fontId="30" fillId="0" borderId="9" xfId="0" applyFont="1" applyBorder="1" applyAlignment="1">
      <alignment vertical="top"/>
    </xf>
    <xf numFmtId="0" fontId="30" fillId="0" borderId="10" xfId="0" applyFont="1" applyBorder="1" applyAlignment="1">
      <alignment vertical="top"/>
    </xf>
    <xf numFmtId="0" fontId="30" fillId="0" borderId="12" xfId="0" applyFont="1" applyBorder="1" applyAlignment="1">
      <alignment vertical="top"/>
    </xf>
    <xf numFmtId="0" fontId="28" fillId="21" borderId="7" xfId="0" applyFont="1" applyFill="1" applyBorder="1" applyAlignment="1">
      <alignment horizontal="center" vertical="top"/>
    </xf>
    <xf numFmtId="0" fontId="30" fillId="0" borderId="9" xfId="0" applyFont="1" applyBorder="1" applyAlignment="1">
      <alignment horizontal="center" vertical="top"/>
    </xf>
    <xf numFmtId="0" fontId="30" fillId="0" borderId="10" xfId="0" applyFont="1" applyBorder="1" applyAlignment="1">
      <alignment horizontal="center" vertical="top"/>
    </xf>
    <xf numFmtId="0" fontId="30" fillId="0" borderId="12" xfId="0" applyFont="1" applyBorder="1" applyAlignment="1">
      <alignment horizontal="center" vertical="top"/>
    </xf>
    <xf numFmtId="0" fontId="30" fillId="22" borderId="1" xfId="0" applyFont="1" applyFill="1" applyBorder="1" applyAlignment="1">
      <alignment vertical="top" wrapText="1"/>
    </xf>
    <xf numFmtId="0" fontId="28" fillId="20" borderId="7" xfId="0" applyFont="1" applyFill="1" applyBorder="1" applyAlignment="1">
      <alignment vertical="top"/>
    </xf>
    <xf numFmtId="0" fontId="30" fillId="0" borderId="2" xfId="0" applyFont="1" applyBorder="1" applyAlignment="1">
      <alignment vertical="top"/>
    </xf>
    <xf numFmtId="0" fontId="30" fillId="0" borderId="8" xfId="0" applyFont="1" applyBorder="1" applyAlignment="1">
      <alignment vertical="top"/>
    </xf>
    <xf numFmtId="0" fontId="30" fillId="0" borderId="3" xfId="0" applyFont="1" applyBorder="1" applyAlignment="1">
      <alignment vertical="top"/>
    </xf>
    <xf numFmtId="0" fontId="32" fillId="0" borderId="0" xfId="3" applyAlignment="1">
      <alignment vertical="top"/>
    </xf>
    <xf numFmtId="0" fontId="30" fillId="0" borderId="2" xfId="0" applyFont="1" applyBorder="1" applyAlignment="1">
      <alignment horizontal="center" vertical="top"/>
    </xf>
    <xf numFmtId="0" fontId="30" fillId="0" borderId="3" xfId="0" applyFont="1" applyBorder="1" applyAlignment="1">
      <alignment horizontal="center" vertical="top"/>
    </xf>
    <xf numFmtId="0" fontId="28" fillId="23" borderId="7" xfId="0" applyFont="1" applyFill="1" applyBorder="1" applyAlignment="1">
      <alignment horizontal="center" vertical="top"/>
    </xf>
    <xf numFmtId="0" fontId="28" fillId="23" borderId="1" xfId="0" applyFont="1" applyFill="1" applyBorder="1" applyAlignment="1">
      <alignment vertical="top" wrapText="1"/>
    </xf>
    <xf numFmtId="0" fontId="0" fillId="0" borderId="11" xfId="0" applyBorder="1" applyAlignment="1">
      <alignment vertical="top"/>
    </xf>
    <xf numFmtId="0" fontId="0" fillId="0" borderId="1" xfId="0" applyBorder="1" applyAlignment="1">
      <alignment vertical="top" wrapText="1"/>
    </xf>
    <xf numFmtId="0" fontId="0" fillId="0" borderId="11" xfId="0" applyBorder="1" applyAlignment="1">
      <alignment horizontal="center" vertical="top"/>
    </xf>
    <xf numFmtId="0" fontId="28" fillId="24" borderId="11" xfId="0" applyFont="1" applyFill="1" applyBorder="1" applyAlignment="1">
      <alignment horizontal="center" vertical="top"/>
    </xf>
    <xf numFmtId="0" fontId="28" fillId="24" borderId="1" xfId="0" applyFont="1" applyFill="1" applyBorder="1" applyAlignment="1">
      <alignment vertical="top" wrapText="1"/>
    </xf>
    <xf numFmtId="0" fontId="0" fillId="0" borderId="7" xfId="0" applyBorder="1" applyAlignment="1">
      <alignment horizontal="center" vertical="top"/>
    </xf>
    <xf numFmtId="0" fontId="28" fillId="24" borderId="7" xfId="0" applyFont="1" applyFill="1" applyBorder="1" applyAlignment="1">
      <alignment horizontal="center" vertical="top"/>
    </xf>
    <xf numFmtId="0" fontId="0" fillId="0" borderId="7" xfId="0" applyBorder="1" applyAlignment="1">
      <alignment vertical="top"/>
    </xf>
    <xf numFmtId="0" fontId="28" fillId="24" borderId="7" xfId="0" applyFont="1" applyFill="1" applyBorder="1" applyAlignment="1">
      <alignment vertical="top"/>
    </xf>
    <xf numFmtId="0" fontId="0" fillId="0" borderId="7" xfId="0" applyBorder="1" applyAlignment="1">
      <alignment horizontal="center"/>
    </xf>
    <xf numFmtId="0" fontId="28" fillId="24" borderId="7" xfId="0" applyFont="1" applyFill="1" applyBorder="1" applyAlignment="1">
      <alignment horizontal="center"/>
    </xf>
    <xf numFmtId="0" fontId="28" fillId="23" borderId="7" xfId="4" applyFont="1" applyFill="1" applyBorder="1" applyAlignment="1">
      <alignment horizontal="center" vertical="top"/>
    </xf>
    <xf numFmtId="0" fontId="28" fillId="23" borderId="1" xfId="4" applyFont="1" applyFill="1" applyBorder="1" applyAlignment="1">
      <alignment vertical="top" wrapText="1"/>
    </xf>
    <xf numFmtId="0" fontId="30" fillId="0" borderId="7" xfId="4" applyBorder="1" applyAlignment="1">
      <alignment horizontal="center" vertical="top"/>
    </xf>
    <xf numFmtId="0" fontId="30" fillId="0" borderId="1" xfId="4" applyBorder="1" applyAlignment="1">
      <alignment vertical="top" wrapText="1"/>
    </xf>
    <xf numFmtId="0" fontId="30" fillId="0" borderId="7" xfId="4" applyBorder="1" applyAlignment="1">
      <alignment horizontal="center"/>
    </xf>
    <xf numFmtId="0" fontId="28" fillId="24" borderId="7" xfId="4" applyFont="1" applyFill="1" applyBorder="1" applyAlignment="1">
      <alignment horizontal="center" vertical="top"/>
    </xf>
    <xf numFmtId="0" fontId="28" fillId="24" borderId="1" xfId="4" applyFont="1" applyFill="1" applyBorder="1" applyAlignment="1">
      <alignment vertical="top" wrapText="1"/>
    </xf>
    <xf numFmtId="0" fontId="31" fillId="0" borderId="1" xfId="4" applyFont="1" applyBorder="1" applyAlignment="1">
      <alignment vertical="top" wrapText="1"/>
    </xf>
    <xf numFmtId="0" fontId="28" fillId="23" borderId="10" xfId="4" applyFont="1" applyFill="1" applyBorder="1" applyAlignment="1">
      <alignment horizontal="center" vertical="top"/>
    </xf>
    <xf numFmtId="0" fontId="28" fillId="20" borderId="10" xfId="0" applyFont="1" applyFill="1" applyBorder="1" applyAlignment="1">
      <alignment horizontal="center" vertical="top"/>
    </xf>
    <xf numFmtId="0" fontId="30" fillId="0" borderId="9" xfId="4" applyBorder="1" applyAlignment="1">
      <alignment horizontal="center" vertical="top"/>
    </xf>
    <xf numFmtId="0" fontId="30" fillId="0" borderId="2" xfId="4" applyBorder="1" applyAlignment="1">
      <alignment vertical="top" wrapText="1"/>
    </xf>
    <xf numFmtId="0" fontId="30" fillId="0" borderId="8" xfId="4" applyBorder="1" applyAlignment="1">
      <alignment vertical="top" wrapText="1"/>
    </xf>
    <xf numFmtId="0" fontId="30" fillId="0" borderId="3" xfId="4" applyBorder="1" applyAlignment="1">
      <alignment vertical="top" wrapText="1"/>
    </xf>
    <xf numFmtId="0" fontId="28" fillId="24" borderId="7" xfId="4" applyFont="1" applyFill="1" applyBorder="1" applyAlignment="1">
      <alignment horizontal="center"/>
    </xf>
    <xf numFmtId="0" fontId="30" fillId="0" borderId="9" xfId="4" applyBorder="1" applyAlignment="1">
      <alignment horizontal="center"/>
    </xf>
    <xf numFmtId="0" fontId="10" fillId="25" borderId="1" xfId="0" applyFont="1" applyFill="1" applyBorder="1" applyAlignment="1">
      <alignment horizontal="left" vertical="top"/>
    </xf>
    <xf numFmtId="0" fontId="10" fillId="0" borderId="0" xfId="0" applyFont="1" applyAlignment="1">
      <alignment horizontal="left" vertical="top"/>
    </xf>
    <xf numFmtId="0" fontId="10" fillId="0" borderId="1" xfId="0" applyFont="1" applyBorder="1" applyAlignment="1">
      <alignment horizontal="left" vertical="top" wrapText="1"/>
    </xf>
    <xf numFmtId="0" fontId="34" fillId="0" borderId="0" xfId="0" applyFont="1" applyAlignment="1">
      <alignment horizontal="left" vertical="top"/>
    </xf>
    <xf numFmtId="0" fontId="0" fillId="0" borderId="0" xfId="0" applyAlignment="1">
      <alignment horizontal="left" vertical="top" wrapText="1"/>
    </xf>
    <xf numFmtId="0" fontId="10" fillId="0" borderId="1" xfId="0" applyFont="1" applyBorder="1" applyAlignment="1">
      <alignment horizontal="left" vertical="top"/>
    </xf>
    <xf numFmtId="0" fontId="33" fillId="0" borderId="1" xfId="0" applyFont="1" applyBorder="1" applyAlignment="1">
      <alignment horizontal="left" vertical="top" wrapText="1"/>
    </xf>
    <xf numFmtId="0" fontId="35" fillId="0" borderId="1" xfId="0" applyFont="1" applyBorder="1" applyAlignment="1">
      <alignment horizontal="left" vertical="top"/>
    </xf>
    <xf numFmtId="0" fontId="0" fillId="0" borderId="1" xfId="0" applyBorder="1" applyAlignment="1">
      <alignment horizontal="left" vertical="top"/>
    </xf>
    <xf numFmtId="0" fontId="38" fillId="0" borderId="0" xfId="0" applyFont="1" applyAlignment="1">
      <alignment vertical="top"/>
    </xf>
    <xf numFmtId="0" fontId="10" fillId="0" borderId="0" xfId="0" applyFont="1" applyAlignment="1">
      <alignment vertical="top" wrapText="1"/>
    </xf>
    <xf numFmtId="0" fontId="10" fillId="0" borderId="1" xfId="0" applyFont="1" applyBorder="1" applyAlignment="1">
      <alignment vertical="top"/>
    </xf>
    <xf numFmtId="0" fontId="10" fillId="0" borderId="1" xfId="0" applyFont="1" applyBorder="1" applyAlignment="1">
      <alignment vertical="top" wrapText="1"/>
    </xf>
    <xf numFmtId="0" fontId="0" fillId="0" borderId="1" xfId="0" applyBorder="1"/>
    <xf numFmtId="0" fontId="40" fillId="0" borderId="0" xfId="0" applyFont="1"/>
    <xf numFmtId="0" fontId="41" fillId="0" borderId="0" xfId="0" applyFont="1"/>
    <xf numFmtId="0" fontId="10" fillId="0" borderId="0" xfId="0" applyFont="1" applyAlignment="1">
      <alignment wrapText="1"/>
    </xf>
    <xf numFmtId="0" fontId="38" fillId="3" borderId="1" xfId="0" applyFont="1" applyFill="1" applyBorder="1" applyAlignment="1">
      <alignment vertical="top"/>
    </xf>
    <xf numFmtId="0" fontId="38" fillId="3" borderId="1" xfId="0" applyFont="1" applyFill="1" applyBorder="1" applyAlignment="1">
      <alignment vertical="top" wrapText="1"/>
    </xf>
    <xf numFmtId="49" fontId="38" fillId="3" borderId="1" xfId="0" applyNumberFormat="1" applyFont="1" applyFill="1" applyBorder="1" applyAlignment="1">
      <alignment vertical="top" wrapText="1"/>
    </xf>
    <xf numFmtId="0" fontId="38" fillId="3" borderId="1" xfId="0" applyFont="1" applyFill="1" applyBorder="1" applyAlignment="1">
      <alignment horizontal="left" vertical="top"/>
    </xf>
    <xf numFmtId="0" fontId="38" fillId="3" borderId="1" xfId="0" applyFont="1" applyFill="1" applyBorder="1" applyAlignment="1">
      <alignment horizontal="right" vertical="top" wrapText="1"/>
    </xf>
    <xf numFmtId="0" fontId="10" fillId="5" borderId="1" xfId="0" applyFont="1" applyFill="1" applyBorder="1" applyAlignment="1">
      <alignment vertical="top"/>
    </xf>
    <xf numFmtId="0" fontId="37" fillId="5" borderId="1" xfId="0" applyFont="1" applyFill="1" applyBorder="1" applyAlignment="1">
      <alignment vertical="top" textRotation="90"/>
    </xf>
    <xf numFmtId="0" fontId="37" fillId="2" borderId="1" xfId="0" applyFont="1" applyFill="1" applyBorder="1" applyAlignment="1">
      <alignment vertical="top" wrapText="1"/>
    </xf>
    <xf numFmtId="0" fontId="37" fillId="2" borderId="1" xfId="0" applyFont="1" applyFill="1" applyBorder="1" applyAlignment="1">
      <alignment vertical="top" textRotation="90" wrapText="1"/>
    </xf>
    <xf numFmtId="49" fontId="37" fillId="2" borderId="1" xfId="0" applyNumberFormat="1" applyFont="1" applyFill="1" applyBorder="1" applyAlignment="1">
      <alignment vertical="top" textRotation="90" wrapText="1"/>
    </xf>
    <xf numFmtId="0" fontId="37" fillId="4" borderId="1" xfId="0" applyFont="1" applyFill="1" applyBorder="1" applyAlignment="1">
      <alignment vertical="top" wrapText="1"/>
    </xf>
    <xf numFmtId="0" fontId="37" fillId="4" borderId="1" xfId="0" applyFont="1" applyFill="1" applyBorder="1" applyAlignment="1">
      <alignment vertical="top" textRotation="90" wrapText="1"/>
    </xf>
    <xf numFmtId="0" fontId="37" fillId="4" borderId="1" xfId="0" applyFont="1" applyFill="1" applyBorder="1" applyAlignment="1">
      <alignment horizontal="left" vertical="top" textRotation="90" wrapText="1"/>
    </xf>
    <xf numFmtId="0" fontId="37" fillId="4" borderId="1" xfId="0" applyFont="1" applyFill="1" applyBorder="1" applyAlignment="1">
      <alignment horizontal="right" vertical="top" wrapText="1"/>
    </xf>
    <xf numFmtId="0" fontId="37" fillId="9" borderId="1" xfId="0" applyFont="1" applyFill="1" applyBorder="1" applyAlignment="1">
      <alignment vertical="top" textRotation="90" wrapText="1"/>
    </xf>
    <xf numFmtId="0" fontId="37" fillId="9" borderId="1" xfId="0" applyFont="1" applyFill="1" applyBorder="1" applyAlignment="1">
      <alignment vertical="top" wrapText="1"/>
    </xf>
    <xf numFmtId="0" fontId="37" fillId="8" borderId="1" xfId="0" applyFont="1" applyFill="1" applyBorder="1" applyAlignment="1">
      <alignment vertical="top" wrapText="1"/>
    </xf>
    <xf numFmtId="0" fontId="37" fillId="7" borderId="1" xfId="0" applyFont="1" applyFill="1" applyBorder="1" applyAlignment="1">
      <alignment vertical="top" wrapText="1"/>
    </xf>
    <xf numFmtId="0" fontId="37" fillId="6" borderId="1" xfId="0" applyFont="1" applyFill="1" applyBorder="1" applyAlignment="1">
      <alignment vertical="top" wrapText="1"/>
    </xf>
    <xf numFmtId="0" fontId="37" fillId="6" borderId="1" xfId="0" applyFont="1" applyFill="1" applyBorder="1" applyAlignment="1">
      <alignment vertical="top" textRotation="90" wrapText="1"/>
    </xf>
    <xf numFmtId="0" fontId="10" fillId="26" borderId="1" xfId="0" applyFont="1" applyFill="1" applyBorder="1" applyAlignment="1">
      <alignment vertical="top"/>
    </xf>
    <xf numFmtId="0" fontId="10" fillId="26" borderId="1" xfId="0" applyFont="1" applyFill="1" applyBorder="1" applyAlignment="1">
      <alignment vertical="top" wrapText="1"/>
    </xf>
    <xf numFmtId="49" fontId="10" fillId="26" borderId="1" xfId="0" applyNumberFormat="1" applyFont="1" applyFill="1" applyBorder="1" applyAlignment="1">
      <alignment vertical="top" wrapText="1"/>
    </xf>
    <xf numFmtId="49" fontId="10" fillId="0" borderId="1" xfId="0" applyNumberFormat="1" applyFont="1" applyBorder="1" applyAlignment="1">
      <alignment vertical="top" wrapText="1"/>
    </xf>
    <xf numFmtId="0" fontId="29" fillId="0" borderId="1" xfId="4" applyFont="1" applyBorder="1" applyAlignment="1">
      <alignment vertical="top"/>
    </xf>
    <xf numFmtId="0" fontId="41" fillId="22" borderId="1" xfId="0" applyFont="1" applyFill="1" applyBorder="1" applyAlignment="1">
      <alignment vertical="top" wrapText="1"/>
    </xf>
    <xf numFmtId="0" fontId="29" fillId="0" borderId="1" xfId="4" applyFont="1" applyBorder="1" applyAlignment="1">
      <alignment vertical="top" wrapText="1"/>
    </xf>
    <xf numFmtId="0" fontId="29" fillId="0" borderId="1" xfId="0" applyFont="1" applyBorder="1" applyAlignment="1">
      <alignment vertical="top" wrapText="1"/>
    </xf>
    <xf numFmtId="0" fontId="44" fillId="0" borderId="1" xfId="0" applyFont="1" applyBorder="1" applyAlignment="1">
      <alignment vertical="top" wrapText="1"/>
    </xf>
    <xf numFmtId="0" fontId="10" fillId="0" borderId="1" xfId="0" applyFont="1" applyBorder="1" applyAlignment="1">
      <alignment vertical="center" wrapText="1"/>
    </xf>
    <xf numFmtId="0" fontId="42" fillId="3" borderId="1" xfId="0" applyFont="1" applyFill="1" applyBorder="1" applyAlignment="1">
      <alignment vertical="top" wrapText="1"/>
    </xf>
    <xf numFmtId="0" fontId="43" fillId="2" borderId="1" xfId="0" applyFont="1" applyFill="1" applyBorder="1" applyAlignment="1">
      <alignment vertical="top" wrapText="1"/>
    </xf>
    <xf numFmtId="0" fontId="45" fillId="0" borderId="1" xfId="0" applyFont="1" applyBorder="1" applyAlignment="1">
      <alignment wrapText="1"/>
    </xf>
    <xf numFmtId="0" fontId="10" fillId="0" borderId="0" xfId="0" applyFont="1" applyAlignment="1">
      <alignment vertical="top"/>
    </xf>
    <xf numFmtId="0" fontId="30" fillId="26" borderId="0" xfId="4" applyFill="1"/>
    <xf numFmtId="0" fontId="2" fillId="0" borderId="0" xfId="0" applyFont="1" applyAlignment="1">
      <alignment vertical="top" wrapText="1"/>
    </xf>
    <xf numFmtId="49" fontId="10" fillId="0" borderId="0" xfId="0" applyNumberFormat="1" applyFont="1" applyAlignment="1">
      <alignment vertical="top" wrapText="1"/>
    </xf>
    <xf numFmtId="0" fontId="30" fillId="0" borderId="0" xfId="4"/>
    <xf numFmtId="0" fontId="10" fillId="0" borderId="0" xfId="0" applyFont="1" applyAlignment="1">
      <alignment horizontal="right" vertical="top" wrapText="1"/>
    </xf>
    <xf numFmtId="0" fontId="10" fillId="27" borderId="1" xfId="0" applyFont="1" applyFill="1" applyBorder="1" applyAlignment="1">
      <alignment vertical="top" wrapText="1"/>
    </xf>
    <xf numFmtId="0" fontId="46" fillId="0" borderId="1" xfId="0" applyFont="1" applyBorder="1" applyAlignment="1">
      <alignment vertical="top" wrapText="1"/>
    </xf>
    <xf numFmtId="0" fontId="46" fillId="0" borderId="1" xfId="0" applyFont="1" applyBorder="1" applyAlignment="1">
      <alignment horizontal="left" vertical="top"/>
    </xf>
    <xf numFmtId="0" fontId="10" fillId="28" borderId="1" xfId="0" applyFont="1" applyFill="1" applyBorder="1" applyAlignment="1">
      <alignment horizontal="left" vertical="top"/>
    </xf>
    <xf numFmtId="0" fontId="36" fillId="0" borderId="1" xfId="0" applyFont="1" applyBorder="1" applyAlignment="1">
      <alignment vertical="top" wrapText="1"/>
    </xf>
    <xf numFmtId="0" fontId="10" fillId="26" borderId="2" xfId="0" applyFont="1" applyFill="1" applyBorder="1" applyAlignment="1">
      <alignment vertical="top"/>
    </xf>
    <xf numFmtId="0" fontId="10" fillId="26" borderId="2" xfId="0" applyFont="1" applyFill="1" applyBorder="1" applyAlignment="1">
      <alignment vertical="top" wrapText="1"/>
    </xf>
    <xf numFmtId="49" fontId="10" fillId="26" borderId="2" xfId="0" applyNumberFormat="1" applyFont="1" applyFill="1" applyBorder="1" applyAlignment="1">
      <alignment vertical="top" wrapText="1"/>
    </xf>
    <xf numFmtId="0" fontId="10" fillId="0" borderId="3" xfId="0" applyFont="1" applyBorder="1" applyAlignment="1">
      <alignment vertical="top"/>
    </xf>
    <xf numFmtId="0" fontId="10" fillId="0" borderId="3" xfId="0" applyFont="1" applyBorder="1" applyAlignment="1">
      <alignment vertical="top" wrapText="1"/>
    </xf>
    <xf numFmtId="49" fontId="10" fillId="0" borderId="3" xfId="0" applyNumberFormat="1" applyFont="1" applyBorder="1" applyAlignment="1">
      <alignment vertical="top" wrapText="1"/>
    </xf>
    <xf numFmtId="0" fontId="10" fillId="0" borderId="3" xfId="0" applyFont="1" applyBorder="1" applyAlignment="1">
      <alignment vertical="center" wrapText="1"/>
    </xf>
    <xf numFmtId="0" fontId="46" fillId="0" borderId="1" xfId="4" applyFont="1" applyBorder="1" applyAlignment="1">
      <alignment vertical="top"/>
    </xf>
    <xf numFmtId="0" fontId="46" fillId="10" borderId="1" xfId="4" applyFont="1" applyFill="1" applyBorder="1" applyAlignment="1">
      <alignment vertical="top"/>
    </xf>
    <xf numFmtId="0" fontId="43" fillId="30" borderId="1" xfId="0" applyFont="1" applyFill="1" applyBorder="1" applyAlignment="1">
      <alignment vertical="top" wrapText="1"/>
    </xf>
    <xf numFmtId="0" fontId="10" fillId="22" borderId="1" xfId="0" applyFont="1" applyFill="1" applyBorder="1" applyAlignment="1">
      <alignment vertical="top" wrapText="1"/>
    </xf>
    <xf numFmtId="0" fontId="13" fillId="2" borderId="26"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3" fillId="0" borderId="0" xfId="0" applyFont="1" applyAlignment="1">
      <alignment horizontal="center" vertical="top" wrapText="1"/>
    </xf>
    <xf numFmtId="0" fontId="13" fillId="0" borderId="0" xfId="0" applyFont="1" applyAlignment="1">
      <alignment horizontal="center" vertical="center" wrapText="1"/>
    </xf>
    <xf numFmtId="0" fontId="17" fillId="0" borderId="0" xfId="0" applyFont="1" applyAlignment="1">
      <alignment vertical="top" wrapText="1"/>
    </xf>
    <xf numFmtId="0" fontId="18" fillId="0" borderId="0" xfId="0" applyFont="1" applyAlignment="1">
      <alignment horizontal="center" vertical="top" wrapText="1"/>
    </xf>
    <xf numFmtId="0" fontId="45" fillId="29" borderId="1" xfId="0" applyFont="1" applyFill="1" applyBorder="1" applyAlignment="1">
      <alignment wrapText="1"/>
    </xf>
    <xf numFmtId="0" fontId="46" fillId="0" borderId="18" xfId="0" applyFont="1" applyBorder="1" applyAlignment="1">
      <alignment horizontal="left" vertical="top" wrapText="1"/>
    </xf>
    <xf numFmtId="0" fontId="46" fillId="25" borderId="2" xfId="0" applyFont="1" applyFill="1" applyBorder="1" applyAlignment="1">
      <alignment horizontal="left" vertical="top" wrapText="1"/>
    </xf>
    <xf numFmtId="0" fontId="46" fillId="25" borderId="13" xfId="0" applyFont="1" applyFill="1" applyBorder="1" applyAlignment="1">
      <alignment horizontal="left" vertical="top" wrapText="1"/>
    </xf>
    <xf numFmtId="49" fontId="46" fillId="25" borderId="14" xfId="0" applyNumberFormat="1" applyFont="1" applyFill="1" applyBorder="1" applyAlignment="1">
      <alignment horizontal="left" vertical="top" wrapText="1"/>
    </xf>
    <xf numFmtId="0" fontId="46" fillId="25" borderId="1" xfId="0" applyFont="1" applyFill="1" applyBorder="1" applyAlignment="1">
      <alignment horizontal="left" vertical="top" wrapText="1"/>
    </xf>
    <xf numFmtId="1" fontId="46" fillId="25" borderId="14" xfId="0" applyNumberFormat="1" applyFont="1" applyFill="1" applyBorder="1" applyAlignment="1">
      <alignment horizontal="left" vertical="top" wrapText="1"/>
    </xf>
    <xf numFmtId="49" fontId="46" fillId="25" borderId="14" xfId="2" applyNumberFormat="1" applyFont="1" applyFill="1" applyBorder="1" applyAlignment="1">
      <alignment horizontal="left" vertical="top" wrapText="1"/>
    </xf>
    <xf numFmtId="0" fontId="46" fillId="0" borderId="0" xfId="0" applyFont="1" applyAlignment="1">
      <alignment horizontal="left" vertical="top"/>
    </xf>
    <xf numFmtId="0" fontId="46" fillId="0" borderId="15" xfId="0" applyFont="1" applyBorder="1" applyAlignment="1">
      <alignment vertical="top" wrapText="1"/>
    </xf>
    <xf numFmtId="0" fontId="46" fillId="10" borderId="16" xfId="0" applyFont="1" applyFill="1" applyBorder="1" applyAlignment="1">
      <alignment horizontal="left" vertical="top" wrapText="1"/>
    </xf>
    <xf numFmtId="0" fontId="46" fillId="10" borderId="15" xfId="0" applyFont="1" applyFill="1" applyBorder="1" applyAlignment="1">
      <alignment horizontal="left" vertical="top" wrapText="1"/>
    </xf>
    <xf numFmtId="49" fontId="46" fillId="0" borderId="15" xfId="0" applyNumberFormat="1" applyFont="1" applyBorder="1" applyAlignment="1">
      <alignment horizontal="left" vertical="top" wrapText="1"/>
    </xf>
    <xf numFmtId="1" fontId="46" fillId="10" borderId="15" xfId="0" applyNumberFormat="1" applyFont="1" applyFill="1" applyBorder="1" applyAlignment="1">
      <alignment horizontal="left" vertical="top" wrapText="1"/>
    </xf>
    <xf numFmtId="49" fontId="46" fillId="10" borderId="15" xfId="0" applyNumberFormat="1" applyFont="1" applyFill="1" applyBorder="1" applyAlignment="1">
      <alignment horizontal="left" vertical="top" wrapText="1"/>
    </xf>
    <xf numFmtId="49" fontId="46" fillId="10" borderId="15" xfId="2" applyNumberFormat="1" applyFont="1" applyFill="1" applyBorder="1" applyAlignment="1">
      <alignment horizontal="left" vertical="top" wrapText="1"/>
    </xf>
    <xf numFmtId="0" fontId="46" fillId="10" borderId="17" xfId="0" applyFont="1" applyFill="1" applyBorder="1" applyAlignment="1">
      <alignment horizontal="left" vertical="top"/>
    </xf>
    <xf numFmtId="0" fontId="46" fillId="0" borderId="21" xfId="0" applyFont="1" applyBorder="1" applyAlignment="1">
      <alignment vertical="top" wrapText="1"/>
    </xf>
    <xf numFmtId="0" fontId="46" fillId="10" borderId="22" xfId="0" applyFont="1" applyFill="1" applyBorder="1" applyAlignment="1">
      <alignment horizontal="left" vertical="top" wrapText="1"/>
    </xf>
    <xf numFmtId="0" fontId="46" fillId="10" borderId="21" xfId="0" applyFont="1" applyFill="1" applyBorder="1" applyAlignment="1">
      <alignment horizontal="left" vertical="top" wrapText="1"/>
    </xf>
    <xf numFmtId="0" fontId="46" fillId="10" borderId="21" xfId="0" applyFont="1" applyFill="1" applyBorder="1" applyAlignment="1">
      <alignment vertical="top" wrapText="1"/>
    </xf>
    <xf numFmtId="49" fontId="46" fillId="0" borderId="23" xfId="0" applyNumberFormat="1" applyFont="1" applyBorder="1" applyAlignment="1">
      <alignment horizontal="left" vertical="top" wrapText="1"/>
    </xf>
    <xf numFmtId="1" fontId="46" fillId="10" borderId="21" xfId="2" applyNumberFormat="1" applyFont="1" applyFill="1" applyBorder="1" applyAlignment="1">
      <alignment horizontal="left" vertical="top" wrapText="1"/>
    </xf>
    <xf numFmtId="49" fontId="46" fillId="10" borderId="21" xfId="0" applyNumberFormat="1" applyFont="1" applyFill="1" applyBorder="1" applyAlignment="1">
      <alignment horizontal="left" vertical="top" wrapText="1"/>
    </xf>
    <xf numFmtId="49" fontId="46" fillId="10" borderId="21" xfId="2" applyNumberFormat="1" applyFont="1" applyFill="1" applyBorder="1" applyAlignment="1">
      <alignment horizontal="left" vertical="top" wrapText="1"/>
    </xf>
    <xf numFmtId="0" fontId="46" fillId="10" borderId="24" xfId="0" applyFont="1" applyFill="1" applyBorder="1" applyAlignment="1">
      <alignment horizontal="left" vertical="top"/>
    </xf>
    <xf numFmtId="0" fontId="46" fillId="0" borderId="16" xfId="0" applyFont="1" applyBorder="1" applyAlignment="1">
      <alignment horizontal="left" vertical="top" wrapText="1"/>
    </xf>
    <xf numFmtId="0" fontId="46" fillId="0" borderId="15" xfId="0" applyFont="1" applyBorder="1" applyAlignment="1">
      <alignment horizontal="left" vertical="top" wrapText="1"/>
    </xf>
    <xf numFmtId="1" fontId="46" fillId="0" borderId="15" xfId="0" applyNumberFormat="1" applyFont="1" applyBorder="1" applyAlignment="1">
      <alignment horizontal="left" vertical="top" wrapText="1"/>
    </xf>
    <xf numFmtId="49" fontId="46" fillId="0" borderId="15" xfId="2" applyNumberFormat="1" applyFont="1" applyFill="1" applyBorder="1" applyAlignment="1">
      <alignment horizontal="left" vertical="top" wrapText="1"/>
    </xf>
    <xf numFmtId="0" fontId="46" fillId="0" borderId="17" xfId="0" applyFont="1" applyBorder="1" applyAlignment="1">
      <alignment horizontal="left" vertical="top"/>
    </xf>
    <xf numFmtId="0" fontId="46" fillId="0" borderId="19" xfId="0" applyFont="1" applyBorder="1" applyAlignment="1">
      <alignment horizontal="left" vertical="top" wrapText="1"/>
    </xf>
    <xf numFmtId="49" fontId="46" fillId="0" borderId="18" xfId="0" applyNumberFormat="1" applyFont="1" applyBorder="1" applyAlignment="1">
      <alignment horizontal="left" vertical="top" wrapText="1"/>
    </xf>
    <xf numFmtId="1" fontId="46" fillId="0" borderId="18" xfId="0" applyNumberFormat="1" applyFont="1" applyBorder="1" applyAlignment="1">
      <alignment horizontal="left" vertical="top" wrapText="1"/>
    </xf>
    <xf numFmtId="49" fontId="46" fillId="0" borderId="18" xfId="2" applyNumberFormat="1" applyFont="1" applyFill="1" applyBorder="1" applyAlignment="1">
      <alignment horizontal="left" vertical="top" wrapText="1"/>
    </xf>
    <xf numFmtId="0" fontId="46" fillId="0" borderId="20" xfId="0" applyFont="1" applyBorder="1" applyAlignment="1">
      <alignment horizontal="left" vertical="top"/>
    </xf>
    <xf numFmtId="0" fontId="46" fillId="0" borderId="21" xfId="0" applyFont="1" applyBorder="1" applyAlignment="1">
      <alignment horizontal="left" vertical="top" wrapText="1"/>
    </xf>
    <xf numFmtId="0" fontId="46" fillId="0" borderId="22" xfId="0" applyFont="1" applyBorder="1" applyAlignment="1">
      <alignment horizontal="left" vertical="top" wrapText="1"/>
    </xf>
    <xf numFmtId="49" fontId="46" fillId="0" borderId="21" xfId="0" applyNumberFormat="1" applyFont="1" applyBorder="1" applyAlignment="1">
      <alignment horizontal="left" vertical="top" wrapText="1"/>
    </xf>
    <xf numFmtId="0" fontId="46" fillId="0" borderId="23" xfId="0" applyFont="1" applyBorder="1" applyAlignment="1">
      <alignment horizontal="left" vertical="top" wrapText="1"/>
    </xf>
    <xf numFmtId="0" fontId="46" fillId="0" borderId="24" xfId="0" applyFont="1" applyBorder="1" applyAlignment="1">
      <alignment horizontal="left" vertical="top"/>
    </xf>
    <xf numFmtId="1" fontId="46" fillId="0" borderId="21" xfId="0" applyNumberFormat="1" applyFont="1" applyBorder="1" applyAlignment="1">
      <alignment horizontal="left" vertical="top" wrapText="1"/>
    </xf>
    <xf numFmtId="49" fontId="46" fillId="0" borderId="21" xfId="2" applyNumberFormat="1" applyFont="1" applyFill="1" applyBorder="1" applyAlignment="1">
      <alignment horizontal="left" vertical="top" wrapText="1"/>
    </xf>
    <xf numFmtId="0" fontId="46" fillId="0" borderId="18" xfId="0" applyFont="1" applyBorder="1" applyAlignment="1">
      <alignment vertical="top" wrapText="1"/>
    </xf>
    <xf numFmtId="0" fontId="46" fillId="0" borderId="18" xfId="0" applyFont="1" applyBorder="1" applyAlignment="1">
      <alignment vertical="top"/>
    </xf>
    <xf numFmtId="0" fontId="46" fillId="0" borderId="18" xfId="0" applyFont="1" applyBorder="1" applyAlignment="1">
      <alignment horizontal="left" vertical="top"/>
    </xf>
    <xf numFmtId="49" fontId="46" fillId="0" borderId="18" xfId="0" applyNumberFormat="1" applyFont="1" applyBorder="1" applyAlignment="1">
      <alignment horizontal="left" vertical="top"/>
    </xf>
    <xf numFmtId="0" fontId="46" fillId="0" borderId="23" xfId="0" applyFont="1" applyBorder="1" applyAlignment="1">
      <alignment vertical="top" wrapText="1"/>
    </xf>
    <xf numFmtId="1" fontId="46" fillId="0" borderId="23" xfId="0" applyNumberFormat="1" applyFont="1" applyBorder="1" applyAlignment="1">
      <alignment horizontal="left" vertical="top" wrapText="1"/>
    </xf>
    <xf numFmtId="0" fontId="46" fillId="0" borderId="1" xfId="0" applyFont="1" applyBorder="1" applyAlignment="1">
      <alignment horizontal="left" vertical="top" wrapText="1"/>
    </xf>
    <xf numFmtId="49" fontId="46" fillId="0" borderId="1" xfId="0" applyNumberFormat="1" applyFont="1" applyBorder="1" applyAlignment="1">
      <alignment horizontal="left" vertical="top" wrapText="1"/>
    </xf>
    <xf numFmtId="1" fontId="46" fillId="0" borderId="1" xfId="0" applyNumberFormat="1" applyFont="1" applyBorder="1" applyAlignment="1">
      <alignment horizontal="left" vertical="top" wrapText="1"/>
    </xf>
    <xf numFmtId="0" fontId="46" fillId="0" borderId="25" xfId="0" applyFont="1" applyBorder="1" applyAlignment="1">
      <alignment horizontal="left" vertical="top"/>
    </xf>
    <xf numFmtId="0" fontId="46" fillId="0" borderId="25" xfId="0" applyFont="1" applyBorder="1" applyAlignment="1">
      <alignment horizontal="left" vertical="top" wrapText="1"/>
    </xf>
    <xf numFmtId="49" fontId="46" fillId="22" borderId="25" xfId="0" applyNumberFormat="1" applyFont="1" applyFill="1" applyBorder="1" applyAlignment="1">
      <alignment horizontal="left" vertical="top" wrapText="1"/>
    </xf>
    <xf numFmtId="49" fontId="46" fillId="0" borderId="25" xfId="0" applyNumberFormat="1" applyFont="1" applyBorder="1" applyAlignment="1">
      <alignment horizontal="left" vertical="top" wrapText="1"/>
    </xf>
    <xf numFmtId="1" fontId="46" fillId="0" borderId="25" xfId="0" applyNumberFormat="1" applyFont="1" applyBorder="1" applyAlignment="1">
      <alignment horizontal="left" vertical="top" wrapText="1"/>
    </xf>
    <xf numFmtId="0" fontId="46" fillId="0" borderId="23" xfId="0" applyFont="1" applyBorder="1" applyAlignment="1">
      <alignment horizontal="left" vertical="top"/>
    </xf>
    <xf numFmtId="0" fontId="46" fillId="0" borderId="3" xfId="0" applyFont="1" applyBorder="1" applyAlignment="1">
      <alignment vertical="top" wrapText="1"/>
    </xf>
    <xf numFmtId="0" fontId="46" fillId="0" borderId="3" xfId="0" applyFont="1" applyBorder="1" applyAlignment="1">
      <alignment horizontal="left" vertical="top" wrapText="1"/>
    </xf>
    <xf numFmtId="49" fontId="46" fillId="0" borderId="3" xfId="0" applyNumberFormat="1" applyFont="1" applyBorder="1" applyAlignment="1">
      <alignment horizontal="left" vertical="top" wrapText="1"/>
    </xf>
    <xf numFmtId="49" fontId="46" fillId="0" borderId="3" xfId="0" applyNumberFormat="1" applyFont="1" applyBorder="1" applyAlignment="1">
      <alignment vertical="top" wrapText="1"/>
    </xf>
    <xf numFmtId="0" fontId="46" fillId="27" borderId="1" xfId="0" applyFont="1" applyFill="1" applyBorder="1" applyAlignment="1">
      <alignment vertical="top" wrapText="1"/>
    </xf>
    <xf numFmtId="49" fontId="46" fillId="0" borderId="2" xfId="0" applyNumberFormat="1" applyFont="1" applyBorder="1" applyAlignment="1">
      <alignment horizontal="left" vertical="top" wrapText="1"/>
    </xf>
    <xf numFmtId="0" fontId="46" fillId="0" borderId="2" xfId="0" applyFont="1" applyBorder="1" applyAlignment="1">
      <alignment horizontal="left" vertical="top" wrapText="1"/>
    </xf>
    <xf numFmtId="1" fontId="46" fillId="0" borderId="2" xfId="0" applyNumberFormat="1" applyFont="1" applyBorder="1" applyAlignment="1">
      <alignment horizontal="left" vertical="top" wrapText="1"/>
    </xf>
    <xf numFmtId="0" fontId="46" fillId="0" borderId="0" xfId="0" applyFont="1" applyAlignment="1">
      <alignment horizontal="left" vertical="top" wrapText="1"/>
    </xf>
    <xf numFmtId="49" fontId="46" fillId="0" borderId="0" xfId="0" applyNumberFormat="1" applyFont="1" applyAlignment="1">
      <alignment horizontal="left" vertical="top" wrapText="1"/>
    </xf>
    <xf numFmtId="1" fontId="46" fillId="0" borderId="0" xfId="0" applyNumberFormat="1" applyFont="1" applyAlignment="1">
      <alignment horizontal="left" vertical="top" wrapText="1"/>
    </xf>
    <xf numFmtId="49" fontId="46" fillId="0" borderId="0" xfId="0" applyNumberFormat="1" applyFont="1" applyAlignment="1">
      <alignment horizontal="left" vertical="top"/>
    </xf>
    <xf numFmtId="1" fontId="46" fillId="0" borderId="0" xfId="0" applyNumberFormat="1" applyFont="1" applyAlignment="1">
      <alignment horizontal="left" vertical="top"/>
    </xf>
    <xf numFmtId="0" fontId="1" fillId="0" borderId="1" xfId="0" applyFont="1" applyBorder="1" applyAlignment="1">
      <alignment vertical="top" wrapText="1"/>
    </xf>
    <xf numFmtId="0" fontId="1" fillId="10" borderId="1" xfId="0" applyFont="1" applyFill="1" applyBorder="1" applyAlignment="1">
      <alignment vertical="top" wrapText="1"/>
    </xf>
    <xf numFmtId="0" fontId="10" fillId="22" borderId="1" xfId="0" applyFont="1" applyFill="1" applyBorder="1" applyAlignment="1">
      <alignment horizontal="left" vertical="top" wrapText="1"/>
    </xf>
    <xf numFmtId="0" fontId="17" fillId="17" borderId="1" xfId="0" applyFont="1" applyFill="1" applyBorder="1" applyAlignment="1">
      <alignment horizontal="center" vertical="top" wrapText="1"/>
    </xf>
    <xf numFmtId="0" fontId="1" fillId="5" borderId="1" xfId="0" applyFont="1" applyFill="1" applyBorder="1" applyAlignment="1">
      <alignment vertical="top" wrapText="1"/>
    </xf>
    <xf numFmtId="0" fontId="1" fillId="26" borderId="1" xfId="0" applyFont="1" applyFill="1" applyBorder="1" applyAlignment="1">
      <alignment vertical="top" wrapText="1"/>
    </xf>
    <xf numFmtId="0" fontId="1" fillId="0" borderId="1" xfId="0" applyFont="1" applyBorder="1" applyAlignment="1">
      <alignment horizontal="left" vertical="top" wrapText="1"/>
    </xf>
    <xf numFmtId="0" fontId="1" fillId="29" borderId="1" xfId="0" applyFont="1" applyFill="1" applyBorder="1" applyAlignment="1">
      <alignment vertical="top" wrapText="1"/>
    </xf>
    <xf numFmtId="0" fontId="1" fillId="0" borderId="1" xfId="0" applyFont="1" applyBorder="1" applyAlignment="1">
      <alignment horizontal="left" vertical="top"/>
    </xf>
    <xf numFmtId="0" fontId="1" fillId="26" borderId="2" xfId="0" applyFont="1" applyFill="1" applyBorder="1" applyAlignment="1">
      <alignment vertical="top" wrapText="1"/>
    </xf>
    <xf numFmtId="0" fontId="1" fillId="0" borderId="3" xfId="0" applyFont="1" applyBorder="1" applyAlignment="1">
      <alignment vertical="top" wrapText="1"/>
    </xf>
    <xf numFmtId="0" fontId="1" fillId="10" borderId="3" xfId="0" applyFont="1" applyFill="1" applyBorder="1" applyAlignment="1">
      <alignment vertical="top" wrapText="1"/>
    </xf>
    <xf numFmtId="0" fontId="1" fillId="29" borderId="3" xfId="0" applyFont="1" applyFill="1" applyBorder="1" applyAlignment="1">
      <alignment vertical="top" wrapText="1"/>
    </xf>
    <xf numFmtId="0" fontId="1" fillId="0" borderId="1" xfId="0" applyFont="1" applyBorder="1" applyAlignment="1">
      <alignment wrapText="1"/>
    </xf>
    <xf numFmtId="0" fontId="1" fillId="0" borderId="0" xfId="0" applyFont="1" applyAlignment="1">
      <alignment vertical="top" wrapText="1"/>
    </xf>
    <xf numFmtId="0" fontId="10" fillId="6" borderId="1" xfId="0" applyFont="1" applyFill="1" applyBorder="1" applyAlignment="1">
      <alignment vertical="top"/>
    </xf>
    <xf numFmtId="0" fontId="10" fillId="4" borderId="1" xfId="0" applyFont="1" applyFill="1" applyBorder="1" applyAlignment="1">
      <alignment vertical="top"/>
    </xf>
    <xf numFmtId="0" fontId="10" fillId="8" borderId="1" xfId="0" applyFont="1" applyFill="1" applyBorder="1" applyAlignment="1">
      <alignment vertical="top"/>
    </xf>
    <xf numFmtId="0" fontId="39" fillId="2" borderId="1" xfId="0" applyFont="1" applyFill="1" applyBorder="1" applyAlignment="1">
      <alignment vertical="top" wrapText="1"/>
    </xf>
    <xf numFmtId="0" fontId="10" fillId="7" borderId="1" xfId="0" applyFont="1" applyFill="1" applyBorder="1" applyAlignment="1">
      <alignment vertical="top"/>
    </xf>
    <xf numFmtId="0" fontId="10" fillId="9" borderId="1" xfId="0" applyFont="1" applyFill="1" applyBorder="1" applyAlignment="1">
      <alignment vertical="top"/>
    </xf>
  </cellXfs>
  <cellStyles count="5">
    <cellStyle name="Hyperlink" xfId="3" builtinId="8"/>
    <cellStyle name="Komma" xfId="2" builtinId="3"/>
    <cellStyle name="Normal 2" xfId="1" xr:uid="{00000000-0005-0000-0000-000000000000}"/>
    <cellStyle name="Standaard" xfId="0" builtinId="0"/>
    <cellStyle name="Standaard 2" xfId="4" xr:uid="{9D641636-5C1F-1A47-9328-6368C5ABA9D9}"/>
  </cellStyles>
  <dxfs count="0"/>
  <tableStyles count="0" defaultTableStyle="TableStyleMedium2" defaultPivotStyle="PivotStyleLight16"/>
  <colors>
    <mruColors>
      <color rgb="FFDDF5FD"/>
      <color rgb="FF5DCEAF"/>
      <color rgb="FFFEE39C"/>
      <color rgb="FFFFDC34"/>
      <color rgb="FFF4FF8B"/>
      <color rgb="FFFFD228"/>
      <color rgb="FFFFC819"/>
      <color rgb="FFFFB079"/>
      <color rgb="FF33CCCC"/>
      <color rgb="FFF78D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Kirsten Top-Smits" id="{D9094B61-905A-4A99-9EA4-C7AEA093F01C}" userId="S::k.smits@kennisinstituut.nl::313b3340-f061-491d-a092-e30d68319984" providerId="AD"/>
</personList>
</file>

<file path=xl/theme/theme1.xml><?xml version="1.0" encoding="utf-8"?>
<a:theme xmlns:a="http://schemas.openxmlformats.org/drawingml/2006/main" name="Kantoorthema">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8" dT="2022-01-06T08:00:28.63" personId="{D9094B61-905A-4A99-9EA4-C7AEA093F01C}" id="{48362CE2-7ABB-4CCA-A0A2-1BC93949442E}">
    <text>Volgens contacten bij AMC is met name WHO-gradering en IDH-wildtype belangrijk</text>
  </threadedComment>
  <threadedComment ref="J72" dT="2022-01-06T11:11:05.02" personId="{D9094B61-905A-4A99-9EA4-C7AEA093F01C}" id="{AEBD36D0-C459-4123-A922-A470C16C63E9}">
    <text>Moeten we dit nog gaan navragen? Welke DTVT hier allemaal onder vallen?</text>
  </threadedComment>
</ThreadedComments>
</file>

<file path=xl/threadedComments/threadedComment2.xml><?xml version="1.0" encoding="utf-8"?>
<ThreadedComments xmlns="http://schemas.microsoft.com/office/spreadsheetml/2018/threadedcomments" xmlns:x="http://schemas.openxmlformats.org/spreadsheetml/2006/main">
  <threadedComment ref="D33" dT="2022-01-06T11:11:05.02" personId="{D9094B61-905A-4A99-9EA4-C7AEA093F01C}" id="{4F1381D4-632E-46E0-AE93-19A04036EBB6}">
    <text>Moeten we dit nog gaan navragen? Welke DTVT hier allemaal onder vallen?</text>
  </threadedComment>
  <threadedComment ref="D34" dT="2022-01-06T11:11:05.02" personId="{D9094B61-905A-4A99-9EA4-C7AEA093F01C}" id="{642DDD8F-7C87-4027-93D1-F228EFB01E87}">
    <text>Moeten we dit nog gaan navragen? Welke DTVT hier allemaal onder vallen?</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92931-C9A3-144B-8653-3E77409A3228}">
  <dimension ref="A2:A5"/>
  <sheetViews>
    <sheetView zoomScaleNormal="100" workbookViewId="0">
      <selection activeCell="A2" sqref="A2"/>
    </sheetView>
  </sheetViews>
  <sheetFormatPr defaultColWidth="10.85546875" defaultRowHeight="15" x14ac:dyDescent="0.25"/>
  <cols>
    <col min="1" max="1" width="51" style="15" customWidth="1"/>
    <col min="2" max="2" width="12.42578125" style="15" customWidth="1"/>
    <col min="3" max="16384" width="10.85546875" style="15"/>
  </cols>
  <sheetData>
    <row r="2" spans="1:1" x14ac:dyDescent="0.25">
      <c r="A2" s="121"/>
    </row>
    <row r="3" spans="1:1" x14ac:dyDescent="0.25">
      <c r="A3" s="121"/>
    </row>
    <row r="4" spans="1:1" x14ac:dyDescent="0.25">
      <c r="A4" s="122"/>
    </row>
    <row r="5" spans="1:1" x14ac:dyDescent="0.25">
      <c r="A5" s="1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59DBE-F26C-0A4A-8C31-59209A400963}">
  <dimension ref="A1:O231"/>
  <sheetViews>
    <sheetView tabSelected="1" topLeftCell="A4" zoomScale="75" workbookViewId="0">
      <selection activeCell="J13" sqref="J13"/>
    </sheetView>
  </sheetViews>
  <sheetFormatPr defaultColWidth="11.42578125" defaultRowHeight="12.75" x14ac:dyDescent="0.2"/>
  <cols>
    <col min="1" max="1" width="30.5703125" customWidth="1"/>
    <col min="2" max="2" width="27.5703125" customWidth="1"/>
    <col min="3" max="3" width="26.85546875" customWidth="1"/>
    <col min="4" max="4" width="23.85546875" bestFit="1" customWidth="1"/>
    <col min="5" max="5" width="24.140625" customWidth="1"/>
    <col min="6" max="6" width="31" customWidth="1"/>
    <col min="7" max="7" width="27.42578125" customWidth="1"/>
    <col min="8" max="9" width="25.140625" customWidth="1"/>
    <col min="10" max="12" width="22.85546875" customWidth="1"/>
    <col min="13" max="13" width="24.140625" customWidth="1"/>
    <col min="14" max="14" width="32.85546875" customWidth="1"/>
    <col min="15" max="15" width="35.42578125" customWidth="1"/>
  </cols>
  <sheetData>
    <row r="1" spans="1:14" ht="18.75" x14ac:dyDescent="0.2">
      <c r="A1" s="16" t="s">
        <v>0</v>
      </c>
      <c r="B1" s="17"/>
      <c r="C1" s="17"/>
      <c r="D1" s="17"/>
      <c r="E1" s="17"/>
      <c r="F1" s="17"/>
      <c r="G1" s="17"/>
      <c r="H1" s="17"/>
      <c r="I1" s="17"/>
      <c r="J1" s="17"/>
      <c r="K1" s="17"/>
      <c r="L1" s="17"/>
      <c r="M1" s="17"/>
      <c r="N1" s="17"/>
    </row>
    <row r="2" spans="1:14" ht="15" x14ac:dyDescent="0.2">
      <c r="N2" s="185"/>
    </row>
    <row r="3" spans="1:14" ht="15.75" x14ac:dyDescent="0.2">
      <c r="A3" s="18" t="s">
        <v>1</v>
      </c>
      <c r="B3" s="19" t="s">
        <v>2</v>
      </c>
      <c r="C3" s="20"/>
      <c r="D3" s="20"/>
      <c r="E3" s="20"/>
      <c r="F3" s="20"/>
      <c r="G3" s="20"/>
      <c r="H3" s="20"/>
      <c r="I3" s="20"/>
      <c r="J3" s="20"/>
      <c r="K3" s="20"/>
      <c r="L3" s="20"/>
      <c r="M3" s="20"/>
      <c r="N3" s="20"/>
    </row>
    <row r="4" spans="1:14" ht="15.75" thickBot="1" x14ac:dyDescent="0.25">
      <c r="C4" s="186"/>
      <c r="F4" s="186"/>
      <c r="N4" s="185"/>
    </row>
    <row r="5" spans="1:14" ht="41.1" customHeight="1" x14ac:dyDescent="0.2">
      <c r="A5" s="21" t="s">
        <v>3</v>
      </c>
      <c r="B5" s="179" t="s">
        <v>4</v>
      </c>
      <c r="C5" s="180" t="s">
        <v>5</v>
      </c>
      <c r="D5" s="180" t="s">
        <v>6</v>
      </c>
      <c r="E5" s="180" t="s">
        <v>7</v>
      </c>
      <c r="F5" s="180" t="s">
        <v>8</v>
      </c>
      <c r="G5" s="180" t="s">
        <v>9</v>
      </c>
      <c r="H5" s="180" t="s">
        <v>10</v>
      </c>
      <c r="I5" s="180" t="s">
        <v>11</v>
      </c>
      <c r="J5" s="180" t="s">
        <v>12</v>
      </c>
      <c r="K5" s="180"/>
      <c r="L5" s="180"/>
      <c r="M5" s="180"/>
      <c r="N5" s="181"/>
    </row>
    <row r="6" spans="1:14" ht="15.75" thickBot="1" x14ac:dyDescent="0.25">
      <c r="A6" s="21" t="s">
        <v>13</v>
      </c>
      <c r="B6" s="182" t="s">
        <v>14</v>
      </c>
      <c r="C6" s="183"/>
      <c r="D6" s="183"/>
      <c r="E6" s="183"/>
      <c r="F6" s="183"/>
      <c r="G6" s="183"/>
      <c r="H6" s="183"/>
      <c r="I6" s="183"/>
      <c r="J6" s="183"/>
      <c r="K6" s="183"/>
      <c r="L6" s="183"/>
      <c r="M6" s="183"/>
      <c r="N6" s="184"/>
    </row>
    <row r="7" spans="1:14" ht="15" x14ac:dyDescent="0.2">
      <c r="A7" s="187" t="s">
        <v>15</v>
      </c>
      <c r="B7" s="188"/>
      <c r="C7" s="188"/>
      <c r="E7" s="188"/>
      <c r="F7" s="188"/>
      <c r="G7" s="188"/>
      <c r="H7" s="188"/>
      <c r="I7" s="188"/>
      <c r="J7" s="188"/>
      <c r="K7" s="188"/>
      <c r="L7" s="188"/>
      <c r="M7" s="188"/>
      <c r="N7" s="188"/>
    </row>
    <row r="8" spans="1:14" ht="14.25" x14ac:dyDescent="0.2">
      <c r="E8" s="188"/>
      <c r="F8" s="188"/>
      <c r="G8" s="188"/>
      <c r="H8" s="188"/>
      <c r="I8" s="188"/>
      <c r="J8" s="188"/>
      <c r="K8" s="188"/>
      <c r="L8" s="188"/>
      <c r="M8" s="188"/>
      <c r="N8" s="188"/>
    </row>
    <row r="9" spans="1:14" ht="15" x14ac:dyDescent="0.2">
      <c r="A9" s="23" t="s">
        <v>16</v>
      </c>
      <c r="B9" s="24"/>
      <c r="C9" s="24"/>
      <c r="D9" s="26"/>
      <c r="E9" s="24"/>
      <c r="F9" s="24"/>
      <c r="G9" s="24"/>
      <c r="H9" s="24"/>
      <c r="I9" s="24"/>
      <c r="J9" s="24"/>
      <c r="K9" s="24"/>
      <c r="L9" s="24"/>
      <c r="M9" s="24"/>
      <c r="N9" s="24"/>
    </row>
    <row r="10" spans="1:14" ht="15" x14ac:dyDescent="0.2">
      <c r="A10" s="25" t="s">
        <v>17</v>
      </c>
      <c r="B10" s="26" t="s">
        <v>18</v>
      </c>
      <c r="C10" s="26" t="s">
        <v>19</v>
      </c>
      <c r="D10" s="26" t="s">
        <v>20</v>
      </c>
      <c r="E10" s="26" t="s">
        <v>19</v>
      </c>
      <c r="F10" s="26" t="s">
        <v>19</v>
      </c>
      <c r="G10" s="26" t="s">
        <v>21</v>
      </c>
      <c r="H10" s="26" t="s">
        <v>19</v>
      </c>
      <c r="I10" s="26" t="s">
        <v>20</v>
      </c>
      <c r="J10" s="26" t="s">
        <v>20</v>
      </c>
      <c r="K10" s="26"/>
      <c r="L10" s="26"/>
      <c r="M10" s="26"/>
      <c r="N10" s="24"/>
    </row>
    <row r="11" spans="1:14" ht="15" x14ac:dyDescent="0.2">
      <c r="A11" s="25" t="s">
        <v>17</v>
      </c>
      <c r="B11" s="26"/>
      <c r="C11" s="26"/>
      <c r="D11" s="26"/>
      <c r="E11" s="26"/>
      <c r="F11" s="26" t="s">
        <v>22</v>
      </c>
      <c r="G11" s="24"/>
      <c r="H11" s="26"/>
      <c r="I11" s="26"/>
      <c r="J11" s="26" t="s">
        <v>19</v>
      </c>
      <c r="K11" s="26"/>
      <c r="L11" s="26"/>
      <c r="M11" s="26"/>
      <c r="N11" s="24"/>
    </row>
    <row r="12" spans="1:14" ht="15" x14ac:dyDescent="0.2">
      <c r="A12" s="25" t="s">
        <v>17</v>
      </c>
      <c r="B12" s="24"/>
      <c r="C12" s="26"/>
      <c r="D12" s="26"/>
      <c r="E12" s="26"/>
      <c r="F12" s="26"/>
      <c r="G12" s="24"/>
      <c r="H12" s="26"/>
      <c r="I12" s="24"/>
      <c r="J12" s="26" t="s">
        <v>18</v>
      </c>
      <c r="K12" s="26"/>
      <c r="L12" s="24"/>
      <c r="M12" s="26"/>
      <c r="N12" s="24"/>
    </row>
    <row r="13" spans="1:14" ht="15" x14ac:dyDescent="0.2">
      <c r="A13" s="25" t="s">
        <v>17</v>
      </c>
      <c r="B13" s="24"/>
      <c r="C13" s="26"/>
      <c r="D13" s="26"/>
      <c r="E13" s="26"/>
      <c r="F13" s="26"/>
      <c r="G13" s="24"/>
      <c r="H13" s="27"/>
      <c r="I13" s="24"/>
      <c r="J13" s="27" t="s">
        <v>23</v>
      </c>
      <c r="K13" s="24"/>
      <c r="L13" s="24"/>
      <c r="M13" s="26"/>
      <c r="N13" s="24"/>
    </row>
    <row r="14" spans="1:14" ht="15" x14ac:dyDescent="0.2">
      <c r="A14" s="25" t="s">
        <v>17</v>
      </c>
      <c r="B14" s="24"/>
      <c r="C14" s="26"/>
      <c r="D14" s="24"/>
      <c r="E14" s="26"/>
      <c r="F14" s="27"/>
      <c r="G14" s="24"/>
      <c r="H14" s="26"/>
      <c r="I14" s="24"/>
      <c r="J14" s="24"/>
      <c r="K14" s="24"/>
      <c r="L14" s="24"/>
      <c r="M14" s="26"/>
      <c r="N14" s="24"/>
    </row>
    <row r="15" spans="1:14" ht="15" x14ac:dyDescent="0.2">
      <c r="A15" s="25" t="s">
        <v>17</v>
      </c>
      <c r="B15" s="24"/>
      <c r="C15" s="24"/>
      <c r="D15" s="24"/>
      <c r="E15" s="26"/>
      <c r="F15" s="27"/>
      <c r="G15" s="24"/>
      <c r="H15" s="24"/>
      <c r="I15" s="24"/>
      <c r="J15" s="24"/>
      <c r="K15" s="24"/>
      <c r="L15" s="24"/>
      <c r="M15" s="26"/>
      <c r="N15" s="24"/>
    </row>
    <row r="16" spans="1:14" ht="15" x14ac:dyDescent="0.2">
      <c r="A16" s="25" t="s">
        <v>17</v>
      </c>
      <c r="B16" s="24"/>
      <c r="C16" s="24"/>
      <c r="D16" s="24"/>
      <c r="E16" s="26"/>
      <c r="F16" s="27"/>
      <c r="G16" s="24"/>
      <c r="H16" s="24"/>
      <c r="I16" s="24"/>
      <c r="J16" s="24"/>
      <c r="K16" s="24"/>
      <c r="L16" s="24"/>
      <c r="M16" s="26"/>
      <c r="N16" s="24"/>
    </row>
    <row r="17" spans="1:14" ht="15" x14ac:dyDescent="0.2">
      <c r="A17" s="25" t="s">
        <v>17</v>
      </c>
      <c r="B17" s="24"/>
      <c r="C17" s="24"/>
      <c r="D17" s="24"/>
      <c r="E17" s="26"/>
      <c r="F17" s="24"/>
      <c r="G17" s="24"/>
      <c r="H17" s="24"/>
      <c r="I17" s="24"/>
      <c r="J17" s="24"/>
      <c r="K17" s="24"/>
      <c r="L17" s="24"/>
      <c r="M17" s="26"/>
      <c r="N17" s="24"/>
    </row>
    <row r="18" spans="1:14" ht="15" x14ac:dyDescent="0.2">
      <c r="A18" s="25" t="s">
        <v>17</v>
      </c>
      <c r="B18" s="24"/>
      <c r="C18" s="24"/>
      <c r="D18" s="24"/>
      <c r="E18" s="26"/>
      <c r="F18" s="24"/>
      <c r="G18" s="24"/>
      <c r="H18" s="24"/>
      <c r="I18" s="24"/>
      <c r="J18" s="24"/>
      <c r="K18" s="24"/>
      <c r="L18" s="24"/>
      <c r="M18" s="26"/>
      <c r="N18" s="24"/>
    </row>
    <row r="19" spans="1:14" ht="15" x14ac:dyDescent="0.2">
      <c r="A19" s="25" t="s">
        <v>17</v>
      </c>
      <c r="B19" s="24"/>
      <c r="C19" s="24"/>
      <c r="D19" s="24"/>
      <c r="E19" s="26"/>
      <c r="F19" s="24"/>
      <c r="G19" s="24"/>
      <c r="H19" s="24"/>
      <c r="I19" s="24"/>
      <c r="J19" s="24"/>
      <c r="K19" s="24"/>
      <c r="L19" s="24"/>
      <c r="M19" s="26"/>
      <c r="N19" s="24"/>
    </row>
    <row r="20" spans="1:14" ht="15" x14ac:dyDescent="0.2">
      <c r="A20" s="25" t="s">
        <v>17</v>
      </c>
      <c r="B20" s="24"/>
      <c r="C20" s="24"/>
      <c r="D20" s="24"/>
      <c r="E20" s="26"/>
      <c r="F20" s="24"/>
      <c r="G20" s="24"/>
      <c r="H20" s="24"/>
      <c r="I20" s="24"/>
      <c r="J20" s="24"/>
      <c r="K20" s="24"/>
      <c r="L20" s="24"/>
      <c r="M20" s="26"/>
      <c r="N20" s="24"/>
    </row>
    <row r="21" spans="1:14" ht="15" x14ac:dyDescent="0.2">
      <c r="A21" s="25" t="s">
        <v>17</v>
      </c>
      <c r="B21" s="24"/>
      <c r="C21" s="24"/>
      <c r="D21" s="24"/>
      <c r="E21" s="24"/>
      <c r="F21" s="24"/>
      <c r="G21" s="24"/>
      <c r="H21" s="24"/>
      <c r="I21" s="24"/>
      <c r="J21" s="24"/>
      <c r="K21" s="24"/>
      <c r="L21" s="24"/>
      <c r="M21" s="24"/>
      <c r="N21" s="24"/>
    </row>
    <row r="22" spans="1:14" ht="15" x14ac:dyDescent="0.2">
      <c r="A22" s="25" t="s">
        <v>17</v>
      </c>
      <c r="B22" s="24"/>
      <c r="C22" s="24"/>
      <c r="D22" s="24"/>
      <c r="E22" s="24"/>
      <c r="F22" s="24"/>
      <c r="G22" s="24"/>
      <c r="H22" s="24"/>
      <c r="I22" s="24"/>
      <c r="J22" s="24"/>
      <c r="K22" s="24"/>
      <c r="L22" s="24"/>
      <c r="M22" s="24"/>
      <c r="N22" s="24"/>
    </row>
    <row r="23" spans="1:14" ht="15" x14ac:dyDescent="0.2">
      <c r="A23" s="25" t="s">
        <v>17</v>
      </c>
      <c r="B23" s="24"/>
      <c r="C23" s="24"/>
      <c r="D23" s="24"/>
      <c r="E23" s="24"/>
      <c r="F23" s="24"/>
      <c r="G23" s="24"/>
      <c r="H23" s="24"/>
      <c r="I23" s="24"/>
      <c r="J23" s="24"/>
      <c r="K23" s="24"/>
      <c r="L23" s="24"/>
      <c r="M23" s="24"/>
      <c r="N23" s="24"/>
    </row>
    <row r="24" spans="1:14" ht="15" x14ac:dyDescent="0.2">
      <c r="A24" s="25"/>
      <c r="B24" s="24"/>
      <c r="C24" s="24"/>
      <c r="D24" s="24"/>
      <c r="E24" s="24"/>
      <c r="F24" s="24"/>
      <c r="G24" s="24"/>
      <c r="H24" s="24"/>
      <c r="I24" s="24"/>
      <c r="J24" s="24"/>
      <c r="K24" s="24"/>
      <c r="L24" s="24"/>
      <c r="M24" s="24"/>
      <c r="N24" s="24"/>
    </row>
    <row r="25" spans="1:14" ht="15" x14ac:dyDescent="0.2">
      <c r="A25" s="25"/>
      <c r="B25" s="24"/>
      <c r="C25" s="24"/>
      <c r="D25" s="24"/>
      <c r="E25" s="24"/>
      <c r="F25" s="24"/>
      <c r="G25" s="24"/>
      <c r="H25" s="24"/>
      <c r="I25" s="24"/>
      <c r="J25" s="24"/>
      <c r="K25" s="24"/>
      <c r="L25" s="24"/>
      <c r="M25" s="24"/>
      <c r="N25" s="24"/>
    </row>
    <row r="26" spans="1:14" ht="15" x14ac:dyDescent="0.2">
      <c r="A26" s="25"/>
      <c r="B26" s="24"/>
      <c r="C26" s="24"/>
      <c r="D26" s="24"/>
      <c r="E26" s="24"/>
      <c r="F26" s="24"/>
      <c r="G26" s="24"/>
      <c r="H26" s="24"/>
      <c r="I26" s="24"/>
      <c r="J26" s="24"/>
      <c r="K26" s="24"/>
      <c r="L26" s="24"/>
      <c r="M26" s="24"/>
      <c r="N26" s="24"/>
    </row>
    <row r="27" spans="1:14" ht="15" x14ac:dyDescent="0.2">
      <c r="A27" s="25"/>
      <c r="B27" s="24"/>
      <c r="C27" s="24"/>
      <c r="D27" s="24"/>
      <c r="E27" s="24"/>
      <c r="F27" s="24"/>
      <c r="G27" s="24"/>
      <c r="H27" s="24"/>
      <c r="I27" s="24"/>
      <c r="J27" s="24"/>
      <c r="K27" s="24"/>
      <c r="L27" s="24"/>
      <c r="M27" s="24"/>
      <c r="N27" s="24"/>
    </row>
    <row r="28" spans="1:14" ht="15" x14ac:dyDescent="0.2">
      <c r="A28" s="25"/>
      <c r="B28" s="24"/>
      <c r="C28" s="24"/>
      <c r="D28" s="24"/>
      <c r="E28" s="24"/>
      <c r="F28" s="24"/>
      <c r="G28" s="24"/>
      <c r="H28" s="24"/>
      <c r="I28" s="24"/>
      <c r="J28" s="24"/>
      <c r="K28" s="24"/>
      <c r="L28" s="24"/>
      <c r="M28" s="24"/>
      <c r="N28" s="24"/>
    </row>
    <row r="29" spans="1:14" ht="14.25" x14ac:dyDescent="0.2">
      <c r="B29" s="188"/>
      <c r="C29" s="188"/>
      <c r="D29" s="188"/>
      <c r="E29" s="188"/>
      <c r="F29" s="188"/>
      <c r="G29" s="188"/>
      <c r="H29" s="188"/>
      <c r="I29" s="188"/>
      <c r="J29" s="188"/>
      <c r="K29" s="188"/>
      <c r="L29" s="188"/>
      <c r="M29" s="188"/>
      <c r="N29" s="188"/>
    </row>
    <row r="30" spans="1:14" ht="15" x14ac:dyDescent="0.2">
      <c r="A30" s="23" t="s">
        <v>24</v>
      </c>
      <c r="B30" s="28"/>
      <c r="C30" s="29"/>
      <c r="D30" s="29"/>
      <c r="E30" s="29"/>
      <c r="F30" s="29"/>
      <c r="G30" s="29"/>
      <c r="H30" s="29"/>
      <c r="I30" s="29"/>
      <c r="J30" s="29"/>
      <c r="K30" s="29"/>
      <c r="L30" s="29"/>
      <c r="M30" s="29"/>
      <c r="N30" s="29"/>
    </row>
    <row r="31" spans="1:14" ht="15" x14ac:dyDescent="0.2">
      <c r="A31" s="25" t="s">
        <v>17</v>
      </c>
      <c r="B31" s="26"/>
      <c r="C31" s="26"/>
      <c r="D31" s="26"/>
      <c r="E31" s="26"/>
      <c r="F31" s="26"/>
      <c r="G31" s="26"/>
      <c r="H31" s="26"/>
      <c r="I31" s="26"/>
      <c r="J31" s="26"/>
      <c r="K31" s="26"/>
      <c r="L31" s="26"/>
      <c r="M31" s="26"/>
      <c r="N31" s="24"/>
    </row>
    <row r="32" spans="1:14" x14ac:dyDescent="0.2">
      <c r="A32" s="30" t="s">
        <v>25</v>
      </c>
      <c r="B32" s="28"/>
      <c r="C32" s="28"/>
      <c r="D32" s="28"/>
      <c r="E32" s="28"/>
      <c r="F32" s="31"/>
      <c r="G32" s="31"/>
      <c r="H32" s="28"/>
      <c r="I32" s="28"/>
      <c r="J32" s="28"/>
      <c r="K32" s="28"/>
      <c r="L32" s="28"/>
      <c r="M32" s="28"/>
      <c r="N32" s="28"/>
    </row>
    <row r="33" spans="1:14" ht="15" x14ac:dyDescent="0.2">
      <c r="A33" s="25" t="s">
        <v>17</v>
      </c>
      <c r="B33" s="24"/>
      <c r="C33" s="26"/>
      <c r="D33" s="26"/>
      <c r="E33" s="24"/>
      <c r="F33" s="26"/>
      <c r="G33" s="26"/>
      <c r="H33" s="26"/>
      <c r="I33" s="26"/>
      <c r="J33" s="26"/>
      <c r="K33" s="26"/>
      <c r="L33" s="24"/>
      <c r="M33" s="24"/>
      <c r="N33" s="24"/>
    </row>
    <row r="34" spans="1:14" x14ac:dyDescent="0.2">
      <c r="A34" s="30" t="s">
        <v>25</v>
      </c>
      <c r="B34" s="28"/>
      <c r="C34" s="28"/>
      <c r="D34" s="28"/>
      <c r="E34" s="28"/>
      <c r="F34" s="31"/>
      <c r="G34" s="27"/>
      <c r="H34" s="28"/>
      <c r="I34" s="28"/>
      <c r="J34" s="28"/>
      <c r="K34" s="28"/>
      <c r="L34" s="28"/>
      <c r="M34" s="28"/>
      <c r="N34" s="28"/>
    </row>
    <row r="35" spans="1:14" ht="15" x14ac:dyDescent="0.2">
      <c r="A35" s="25" t="s">
        <v>17</v>
      </c>
      <c r="B35" s="24"/>
      <c r="C35" s="26"/>
      <c r="D35" s="26"/>
      <c r="E35" s="24"/>
      <c r="F35" s="26"/>
      <c r="G35" s="26"/>
      <c r="H35" s="26"/>
      <c r="I35" s="24"/>
      <c r="J35" s="26"/>
      <c r="K35" s="26"/>
      <c r="L35" s="24"/>
      <c r="M35" s="24"/>
      <c r="N35" s="24"/>
    </row>
    <row r="36" spans="1:14" x14ac:dyDescent="0.2">
      <c r="A36" s="30" t="s">
        <v>25</v>
      </c>
      <c r="B36" s="28"/>
      <c r="C36" s="28"/>
      <c r="D36" s="28"/>
      <c r="E36" s="28"/>
      <c r="F36" s="28"/>
      <c r="G36" s="27"/>
      <c r="H36" s="28"/>
      <c r="I36" s="28"/>
      <c r="J36" s="28"/>
      <c r="K36" s="28"/>
      <c r="L36" s="28"/>
      <c r="M36" s="28"/>
      <c r="N36" s="28"/>
    </row>
    <row r="37" spans="1:14" ht="15" x14ac:dyDescent="0.2">
      <c r="A37" s="25" t="s">
        <v>17</v>
      </c>
      <c r="B37" s="24"/>
      <c r="C37" s="24"/>
      <c r="D37" s="26"/>
      <c r="E37" s="24"/>
      <c r="F37" s="26"/>
      <c r="G37" s="26"/>
      <c r="H37" s="26"/>
      <c r="I37" s="24"/>
      <c r="J37" s="26"/>
      <c r="K37" s="24"/>
      <c r="L37" s="24"/>
      <c r="M37" s="24"/>
      <c r="N37" s="24"/>
    </row>
    <row r="38" spans="1:14" x14ac:dyDescent="0.2">
      <c r="A38" s="30" t="s">
        <v>25</v>
      </c>
      <c r="B38" s="28"/>
      <c r="C38" s="28"/>
      <c r="D38" s="28"/>
      <c r="E38" s="28"/>
      <c r="F38" s="28"/>
      <c r="G38" s="28"/>
      <c r="H38" s="31"/>
      <c r="I38" s="28"/>
      <c r="J38" s="31"/>
      <c r="K38" s="28"/>
      <c r="L38" s="28"/>
      <c r="M38" s="28"/>
      <c r="N38" s="28"/>
    </row>
    <row r="39" spans="1:14" ht="15" x14ac:dyDescent="0.2">
      <c r="A39" s="25" t="s">
        <v>17</v>
      </c>
      <c r="B39" s="24"/>
      <c r="C39" s="24"/>
      <c r="D39" s="24"/>
      <c r="E39" s="24"/>
      <c r="F39" s="26"/>
      <c r="G39" s="26"/>
      <c r="H39" s="26"/>
      <c r="I39" s="24"/>
      <c r="J39" s="26"/>
      <c r="K39" s="24"/>
      <c r="L39" s="24"/>
      <c r="M39" s="24"/>
      <c r="N39" s="24"/>
    </row>
    <row r="40" spans="1:14" x14ac:dyDescent="0.2">
      <c r="A40" s="30" t="s">
        <v>25</v>
      </c>
      <c r="B40" s="28"/>
      <c r="C40" s="28"/>
      <c r="D40" s="28"/>
      <c r="E40" s="28"/>
      <c r="F40" s="28"/>
      <c r="G40" s="28"/>
      <c r="H40" s="28"/>
      <c r="I40" s="28"/>
      <c r="J40" s="28"/>
      <c r="K40" s="28"/>
      <c r="L40" s="28"/>
      <c r="M40" s="28"/>
      <c r="N40" s="28"/>
    </row>
    <row r="41" spans="1:14" ht="15" x14ac:dyDescent="0.2">
      <c r="A41" s="25" t="s">
        <v>17</v>
      </c>
      <c r="B41" s="24"/>
      <c r="C41" s="24"/>
      <c r="D41" s="24"/>
      <c r="E41" s="24"/>
      <c r="F41" s="26"/>
      <c r="G41" s="26"/>
      <c r="H41" s="26"/>
      <c r="I41" s="24"/>
      <c r="J41" s="26"/>
      <c r="K41" s="24"/>
      <c r="L41" s="24"/>
      <c r="M41" s="24"/>
      <c r="N41" s="24"/>
    </row>
    <row r="42" spans="1:14" x14ac:dyDescent="0.2">
      <c r="A42" s="30" t="s">
        <v>25</v>
      </c>
      <c r="B42" s="28"/>
      <c r="C42" s="28"/>
      <c r="D42" s="28"/>
      <c r="E42" s="28"/>
      <c r="F42" s="28"/>
      <c r="G42" s="28"/>
      <c r="H42" s="28"/>
      <c r="I42" s="28"/>
      <c r="J42" s="28"/>
      <c r="K42" s="28"/>
      <c r="L42" s="28"/>
      <c r="M42" s="28"/>
      <c r="N42" s="28"/>
    </row>
    <row r="43" spans="1:14" ht="15" x14ac:dyDescent="0.2">
      <c r="A43" s="25" t="s">
        <v>17</v>
      </c>
      <c r="B43" s="24"/>
      <c r="C43" s="24"/>
      <c r="D43" s="24"/>
      <c r="E43" s="24"/>
      <c r="F43" s="24"/>
      <c r="G43" s="26"/>
      <c r="H43" s="26"/>
      <c r="I43" s="24"/>
      <c r="J43" s="26"/>
      <c r="K43" s="24"/>
      <c r="L43" s="24"/>
      <c r="M43" s="24"/>
      <c r="N43" s="24"/>
    </row>
    <row r="44" spans="1:14" x14ac:dyDescent="0.2">
      <c r="A44" s="30" t="s">
        <v>25</v>
      </c>
      <c r="B44" s="28"/>
      <c r="C44" s="28"/>
      <c r="D44" s="28"/>
      <c r="E44" s="28"/>
      <c r="F44" s="28"/>
      <c r="G44" s="26"/>
      <c r="H44" s="28"/>
      <c r="I44" s="28"/>
      <c r="J44" s="28"/>
      <c r="K44" s="28"/>
      <c r="L44" s="28"/>
      <c r="M44" s="28"/>
      <c r="N44" s="28"/>
    </row>
    <row r="45" spans="1:14" ht="15" x14ac:dyDescent="0.2">
      <c r="A45" s="25" t="s">
        <v>17</v>
      </c>
      <c r="B45" s="24"/>
      <c r="C45" s="24"/>
      <c r="D45" s="24"/>
      <c r="E45" s="24"/>
      <c r="F45" s="24"/>
      <c r="G45" s="24"/>
      <c r="H45" s="26"/>
      <c r="I45" s="24"/>
      <c r="J45" s="26"/>
      <c r="K45" s="24"/>
      <c r="L45" s="24"/>
      <c r="M45" s="24"/>
      <c r="N45" s="24"/>
    </row>
    <row r="46" spans="1:14" x14ac:dyDescent="0.2">
      <c r="A46" s="30" t="s">
        <v>25</v>
      </c>
      <c r="B46" s="28"/>
      <c r="C46" s="28"/>
      <c r="D46" s="28"/>
      <c r="E46" s="28"/>
      <c r="F46" s="28"/>
      <c r="G46" s="28"/>
      <c r="H46" s="28"/>
      <c r="I46" s="28"/>
      <c r="J46" s="28"/>
      <c r="K46" s="28"/>
      <c r="L46" s="28"/>
      <c r="M46" s="28"/>
      <c r="N46" s="28"/>
    </row>
    <row r="47" spans="1:14" ht="15" x14ac:dyDescent="0.2">
      <c r="A47" s="25" t="s">
        <v>17</v>
      </c>
      <c r="B47" s="24"/>
      <c r="C47" s="24"/>
      <c r="D47" s="24"/>
      <c r="E47" s="24"/>
      <c r="F47" s="24"/>
      <c r="G47" s="24"/>
      <c r="H47" s="24"/>
      <c r="I47" s="24"/>
      <c r="J47" s="24"/>
      <c r="K47" s="24"/>
      <c r="L47" s="24"/>
      <c r="M47" s="24"/>
      <c r="N47" s="24"/>
    </row>
    <row r="48" spans="1:14" x14ac:dyDescent="0.2">
      <c r="A48" s="30" t="s">
        <v>25</v>
      </c>
      <c r="B48" s="28"/>
      <c r="C48" s="28"/>
      <c r="D48" s="28"/>
      <c r="E48" s="28"/>
      <c r="F48" s="28"/>
      <c r="G48" s="28"/>
      <c r="H48" s="28"/>
      <c r="I48" s="28"/>
      <c r="J48" s="28"/>
      <c r="K48" s="28"/>
      <c r="L48" s="28"/>
      <c r="M48" s="28"/>
      <c r="N48" s="28"/>
    </row>
    <row r="49" spans="1:14" ht="15" x14ac:dyDescent="0.2">
      <c r="A49" s="25" t="s">
        <v>17</v>
      </c>
      <c r="B49" s="24"/>
      <c r="C49" s="24"/>
      <c r="D49" s="24"/>
      <c r="E49" s="24"/>
      <c r="F49" s="24"/>
      <c r="G49" s="24"/>
      <c r="H49" s="24"/>
      <c r="I49" s="24"/>
      <c r="J49" s="24"/>
      <c r="K49" s="24"/>
      <c r="L49" s="24"/>
      <c r="M49" s="24"/>
      <c r="N49" s="24"/>
    </row>
    <row r="50" spans="1:14" x14ac:dyDescent="0.2">
      <c r="A50" s="30" t="s">
        <v>25</v>
      </c>
      <c r="B50" s="28"/>
      <c r="C50" s="28"/>
      <c r="D50" s="28"/>
      <c r="E50" s="28"/>
      <c r="F50" s="28"/>
      <c r="G50" s="28"/>
      <c r="H50" s="28"/>
      <c r="I50" s="28"/>
      <c r="J50" s="28"/>
      <c r="K50" s="28"/>
      <c r="L50" s="28"/>
      <c r="M50" s="28"/>
      <c r="N50" s="28"/>
    </row>
    <row r="51" spans="1:14" ht="15" x14ac:dyDescent="0.2">
      <c r="A51" s="25" t="s">
        <v>17</v>
      </c>
      <c r="B51" s="24"/>
      <c r="C51" s="24"/>
      <c r="D51" s="24"/>
      <c r="E51" s="24"/>
      <c r="F51" s="24"/>
      <c r="G51" s="24"/>
      <c r="H51" s="24"/>
      <c r="I51" s="24"/>
      <c r="J51" s="24"/>
      <c r="K51" s="24"/>
      <c r="L51" s="24"/>
      <c r="M51" s="24"/>
      <c r="N51" s="24"/>
    </row>
    <row r="52" spans="1:14" x14ac:dyDescent="0.2">
      <c r="A52" s="30" t="s">
        <v>25</v>
      </c>
      <c r="B52" s="28"/>
      <c r="C52" s="28"/>
      <c r="D52" s="28"/>
      <c r="E52" s="28"/>
      <c r="F52" s="28"/>
      <c r="G52" s="28"/>
      <c r="H52" s="28"/>
      <c r="I52" s="28"/>
      <c r="J52" s="28"/>
      <c r="K52" s="28"/>
      <c r="L52" s="28"/>
      <c r="M52" s="28"/>
      <c r="N52" s="28"/>
    </row>
    <row r="53" spans="1:14" ht="15" x14ac:dyDescent="0.2">
      <c r="A53" s="25" t="s">
        <v>17</v>
      </c>
      <c r="B53" s="24"/>
      <c r="C53" s="24"/>
      <c r="D53" s="24"/>
      <c r="E53" s="24"/>
      <c r="F53" s="24"/>
      <c r="G53" s="24"/>
      <c r="H53" s="24"/>
      <c r="I53" s="24"/>
      <c r="J53" s="24"/>
      <c r="K53" s="24"/>
      <c r="L53" s="24"/>
      <c r="M53" s="24"/>
      <c r="N53" s="24"/>
    </row>
    <row r="54" spans="1:14" x14ac:dyDescent="0.2">
      <c r="A54" s="30" t="s">
        <v>25</v>
      </c>
      <c r="B54" s="28"/>
      <c r="C54" s="28"/>
      <c r="D54" s="28"/>
      <c r="E54" s="28"/>
      <c r="F54" s="28"/>
      <c r="G54" s="28"/>
      <c r="H54" s="28"/>
      <c r="I54" s="28"/>
      <c r="J54" s="28"/>
      <c r="K54" s="28"/>
      <c r="L54" s="28"/>
      <c r="M54" s="28"/>
      <c r="N54" s="28"/>
    </row>
    <row r="55" spans="1:14" ht="15" x14ac:dyDescent="0.2">
      <c r="A55" s="25" t="s">
        <v>17</v>
      </c>
      <c r="B55" s="24"/>
      <c r="C55" s="24"/>
      <c r="D55" s="24"/>
      <c r="E55" s="24"/>
      <c r="F55" s="24"/>
      <c r="G55" s="24"/>
      <c r="H55" s="24"/>
      <c r="I55" s="24"/>
      <c r="J55" s="24"/>
      <c r="K55" s="24"/>
      <c r="L55" s="24"/>
      <c r="M55" s="24"/>
      <c r="N55" s="24"/>
    </row>
    <row r="56" spans="1:14" x14ac:dyDescent="0.2">
      <c r="A56" s="30" t="s">
        <v>25</v>
      </c>
      <c r="B56" s="28"/>
      <c r="C56" s="28"/>
      <c r="D56" s="28"/>
      <c r="E56" s="28"/>
      <c r="F56" s="28"/>
      <c r="G56" s="28"/>
      <c r="H56" s="28"/>
      <c r="I56" s="28"/>
      <c r="J56" s="28"/>
      <c r="K56" s="28"/>
      <c r="L56" s="28"/>
      <c r="M56" s="28"/>
      <c r="N56" s="28"/>
    </row>
    <row r="57" spans="1:14" ht="15" x14ac:dyDescent="0.2">
      <c r="A57" s="25" t="s">
        <v>17</v>
      </c>
      <c r="B57" s="24"/>
      <c r="C57" s="24"/>
      <c r="D57" s="24"/>
      <c r="E57" s="24"/>
      <c r="F57" s="24"/>
      <c r="G57" s="24"/>
      <c r="H57" s="24"/>
      <c r="I57" s="24"/>
      <c r="J57" s="24"/>
      <c r="K57" s="24"/>
      <c r="L57" s="24"/>
      <c r="M57" s="24"/>
      <c r="N57" s="24"/>
    </row>
    <row r="58" spans="1:14" x14ac:dyDescent="0.2">
      <c r="A58" s="30" t="s">
        <v>25</v>
      </c>
      <c r="B58" s="28"/>
      <c r="C58" s="28"/>
      <c r="D58" s="28"/>
      <c r="E58" s="28"/>
      <c r="F58" s="28"/>
      <c r="G58" s="28"/>
      <c r="H58" s="28"/>
      <c r="I58" s="28"/>
      <c r="J58" s="28"/>
      <c r="K58" s="28"/>
      <c r="L58" s="28"/>
      <c r="M58" s="28"/>
      <c r="N58" s="28"/>
    </row>
    <row r="59" spans="1:14" ht="15" x14ac:dyDescent="0.2">
      <c r="A59" s="25" t="s">
        <v>17</v>
      </c>
      <c r="B59" s="24"/>
      <c r="C59" s="24"/>
      <c r="D59" s="24"/>
      <c r="E59" s="24"/>
      <c r="F59" s="24"/>
      <c r="G59" s="24"/>
      <c r="H59" s="24"/>
      <c r="I59" s="24"/>
      <c r="J59" s="24"/>
      <c r="K59" s="24"/>
      <c r="L59" s="24"/>
      <c r="M59" s="24"/>
      <c r="N59" s="24"/>
    </row>
    <row r="60" spans="1:14" x14ac:dyDescent="0.2">
      <c r="A60" s="30" t="s">
        <v>25</v>
      </c>
      <c r="B60" s="28"/>
      <c r="C60" s="28"/>
      <c r="D60" s="28"/>
      <c r="E60" s="28"/>
      <c r="F60" s="28"/>
      <c r="G60" s="28"/>
      <c r="H60" s="28"/>
      <c r="I60" s="28"/>
      <c r="J60" s="28"/>
      <c r="K60" s="28"/>
      <c r="L60" s="28"/>
      <c r="M60" s="28"/>
      <c r="N60" s="28"/>
    </row>
    <row r="61" spans="1:14" ht="15" x14ac:dyDescent="0.2">
      <c r="A61" s="25" t="s">
        <v>17</v>
      </c>
      <c r="B61" s="24"/>
      <c r="C61" s="24"/>
      <c r="D61" s="24"/>
      <c r="E61" s="24"/>
      <c r="F61" s="24"/>
      <c r="G61" s="24"/>
      <c r="H61" s="24"/>
      <c r="I61" s="24"/>
      <c r="J61" s="24"/>
      <c r="K61" s="24"/>
      <c r="L61" s="24"/>
      <c r="M61" s="24"/>
      <c r="N61" s="24"/>
    </row>
    <row r="62" spans="1:14" x14ac:dyDescent="0.2">
      <c r="A62" s="30" t="s">
        <v>25</v>
      </c>
      <c r="B62" s="28"/>
      <c r="C62" s="28"/>
      <c r="D62" s="28"/>
      <c r="E62" s="28"/>
      <c r="F62" s="28"/>
      <c r="G62" s="28"/>
      <c r="H62" s="28"/>
      <c r="I62" s="28"/>
      <c r="J62" s="28"/>
      <c r="K62" s="28"/>
      <c r="L62" s="28"/>
      <c r="M62" s="28"/>
      <c r="N62" s="28"/>
    </row>
    <row r="63" spans="1:14" ht="15" x14ac:dyDescent="0.2">
      <c r="A63" s="25" t="s">
        <v>17</v>
      </c>
      <c r="B63" s="24"/>
      <c r="C63" s="24"/>
      <c r="D63" s="24"/>
      <c r="E63" s="24"/>
      <c r="F63" s="24"/>
      <c r="G63" s="24"/>
      <c r="H63" s="24"/>
      <c r="I63" s="24"/>
      <c r="J63" s="24"/>
      <c r="K63" s="24"/>
      <c r="L63" s="24"/>
      <c r="M63" s="24"/>
      <c r="N63" s="24"/>
    </row>
    <row r="64" spans="1:14" x14ac:dyDescent="0.2">
      <c r="A64" s="30" t="s">
        <v>25</v>
      </c>
      <c r="B64" s="28"/>
      <c r="C64" s="28"/>
      <c r="D64" s="28"/>
      <c r="E64" s="28"/>
      <c r="F64" s="28"/>
      <c r="G64" s="28"/>
      <c r="H64" s="28"/>
      <c r="I64" s="28"/>
      <c r="J64" s="28"/>
      <c r="K64" s="28"/>
      <c r="L64" s="28"/>
      <c r="M64" s="28"/>
      <c r="N64" s="28"/>
    </row>
    <row r="65" spans="1:15" ht="15" x14ac:dyDescent="0.2">
      <c r="A65" s="25" t="s">
        <v>17</v>
      </c>
      <c r="B65" s="24"/>
      <c r="C65" s="24"/>
      <c r="D65" s="24"/>
      <c r="E65" s="24"/>
      <c r="F65" s="24"/>
      <c r="G65" s="24"/>
      <c r="H65" s="24"/>
      <c r="I65" s="24"/>
      <c r="J65" s="24"/>
      <c r="K65" s="24"/>
      <c r="L65" s="24"/>
      <c r="M65" s="24"/>
      <c r="N65" s="24"/>
    </row>
    <row r="66" spans="1:15" x14ac:dyDescent="0.2">
      <c r="A66" s="30" t="s">
        <v>25</v>
      </c>
      <c r="B66" s="28"/>
      <c r="C66" s="28"/>
      <c r="D66" s="28"/>
      <c r="E66" s="28"/>
      <c r="F66" s="28"/>
      <c r="G66" s="28"/>
      <c r="H66" s="28"/>
      <c r="I66" s="28"/>
      <c r="J66" s="28"/>
      <c r="K66" s="28"/>
      <c r="L66" s="28"/>
      <c r="M66" s="28"/>
      <c r="N66" s="28"/>
    </row>
    <row r="67" spans="1:15" ht="15" x14ac:dyDescent="0.2">
      <c r="A67" s="25" t="s">
        <v>17</v>
      </c>
      <c r="B67" s="24"/>
      <c r="C67" s="24"/>
      <c r="D67" s="24"/>
      <c r="E67" s="24"/>
      <c r="F67" s="24"/>
      <c r="G67" s="24"/>
      <c r="H67" s="24"/>
      <c r="I67" s="24"/>
      <c r="J67" s="24"/>
      <c r="K67" s="24"/>
      <c r="L67" s="24"/>
      <c r="M67" s="24"/>
      <c r="N67" s="24"/>
    </row>
    <row r="68" spans="1:15" x14ac:dyDescent="0.2">
      <c r="A68" s="30" t="s">
        <v>25</v>
      </c>
      <c r="B68" s="28"/>
      <c r="C68" s="28"/>
      <c r="D68" s="28"/>
      <c r="E68" s="28"/>
      <c r="F68" s="28"/>
      <c r="G68" s="28"/>
      <c r="H68" s="28"/>
      <c r="I68" s="28"/>
      <c r="J68" s="28"/>
      <c r="K68" s="28"/>
      <c r="L68" s="28"/>
      <c r="M68" s="28"/>
      <c r="N68" s="28"/>
    </row>
    <row r="69" spans="1:15" ht="15" x14ac:dyDescent="0.2">
      <c r="A69" s="25" t="s">
        <v>17</v>
      </c>
      <c r="B69" s="24"/>
      <c r="C69" s="24"/>
      <c r="D69" s="24"/>
      <c r="E69" s="24"/>
      <c r="F69" s="24"/>
      <c r="G69" s="24"/>
      <c r="H69" s="24"/>
      <c r="I69" s="24"/>
      <c r="J69" s="24"/>
      <c r="K69" s="24"/>
      <c r="L69" s="24"/>
      <c r="M69" s="24"/>
      <c r="N69" s="24"/>
    </row>
    <row r="70" spans="1:15" x14ac:dyDescent="0.2">
      <c r="A70" s="30" t="s">
        <v>25</v>
      </c>
      <c r="B70" s="28"/>
      <c r="C70" s="28"/>
      <c r="D70" s="28"/>
      <c r="E70" s="28"/>
      <c r="F70" s="28"/>
      <c r="G70" s="28"/>
      <c r="H70" s="28"/>
      <c r="I70" s="28"/>
      <c r="J70" s="28"/>
      <c r="K70" s="28"/>
      <c r="L70" s="28"/>
      <c r="M70" s="28"/>
      <c r="N70" s="28"/>
    </row>
    <row r="71" spans="1:15" ht="15.75" thickBot="1" x14ac:dyDescent="0.25">
      <c r="A71" s="32"/>
      <c r="B71" s="33"/>
      <c r="C71" s="33"/>
      <c r="D71" s="33"/>
      <c r="E71" s="33"/>
      <c r="F71" s="33"/>
      <c r="G71" s="33"/>
      <c r="H71" s="33"/>
      <c r="I71" s="33"/>
      <c r="J71" s="33"/>
      <c r="K71" s="33"/>
      <c r="L71" s="33"/>
      <c r="M71" s="33"/>
      <c r="N71" s="33"/>
    </row>
    <row r="72" spans="1:15" ht="15" x14ac:dyDescent="0.2">
      <c r="A72" s="34" t="s">
        <v>26</v>
      </c>
      <c r="B72" s="22"/>
      <c r="C72" s="22"/>
      <c r="D72" s="22"/>
      <c r="E72" s="22"/>
      <c r="F72" s="22"/>
      <c r="G72" s="22"/>
      <c r="H72" s="22"/>
      <c r="I72" s="22"/>
      <c r="J72" s="22"/>
      <c r="K72" s="22"/>
      <c r="L72" s="22"/>
      <c r="M72" s="22"/>
      <c r="N72" s="22"/>
    </row>
    <row r="73" spans="1:15" ht="15" x14ac:dyDescent="0.2">
      <c r="A73" s="35" t="s">
        <v>27</v>
      </c>
      <c r="B73" s="22"/>
      <c r="C73" s="22"/>
      <c r="D73" s="22"/>
      <c r="E73" s="22"/>
      <c r="F73" s="22"/>
      <c r="G73" s="22"/>
      <c r="H73" s="22"/>
      <c r="I73" s="22"/>
      <c r="J73" s="22"/>
      <c r="K73" s="22"/>
      <c r="L73" s="22"/>
      <c r="M73" s="22"/>
      <c r="N73" s="22"/>
    </row>
    <row r="74" spans="1:15" ht="85.5" x14ac:dyDescent="0.2">
      <c r="B74" s="22" t="s">
        <v>28</v>
      </c>
      <c r="C74" s="22" t="s">
        <v>29</v>
      </c>
      <c r="D74" s="22" t="s">
        <v>30</v>
      </c>
      <c r="E74" s="22" t="s">
        <v>31</v>
      </c>
      <c r="F74" s="22" t="s">
        <v>32</v>
      </c>
      <c r="G74" s="22" t="s">
        <v>33</v>
      </c>
      <c r="H74" s="22" t="s">
        <v>34</v>
      </c>
      <c r="I74" s="22" t="s">
        <v>35</v>
      </c>
      <c r="J74" s="22" t="s">
        <v>36</v>
      </c>
      <c r="K74" s="22" t="s">
        <v>37</v>
      </c>
      <c r="L74" s="22" t="s">
        <v>38</v>
      </c>
      <c r="M74" s="22" t="s">
        <v>31</v>
      </c>
      <c r="N74" s="22" t="s">
        <v>39</v>
      </c>
    </row>
    <row r="75" spans="1:15" ht="15" x14ac:dyDescent="0.2">
      <c r="A75" s="23" t="s">
        <v>24</v>
      </c>
      <c r="B75" s="24"/>
      <c r="C75" s="24"/>
      <c r="D75" s="24"/>
      <c r="E75" s="24"/>
      <c r="F75" s="24"/>
      <c r="G75" s="24"/>
      <c r="H75" s="24"/>
      <c r="I75" s="24"/>
      <c r="J75" s="24"/>
      <c r="K75" s="24"/>
      <c r="L75" s="24"/>
      <c r="M75" s="24"/>
      <c r="N75" s="24"/>
    </row>
    <row r="76" spans="1:15" ht="15" x14ac:dyDescent="0.2">
      <c r="A76" s="25" t="s">
        <v>17</v>
      </c>
      <c r="B76" s="36"/>
      <c r="C76" s="36"/>
      <c r="D76" s="36"/>
      <c r="E76" s="36"/>
      <c r="F76" s="36"/>
      <c r="G76" s="36"/>
      <c r="H76" s="36"/>
      <c r="I76" s="36"/>
      <c r="J76" s="36"/>
      <c r="K76" s="36"/>
      <c r="L76" s="36"/>
      <c r="M76" s="37"/>
      <c r="N76" s="38"/>
    </row>
    <row r="77" spans="1:15" ht="18" customHeight="1" x14ac:dyDescent="0.2">
      <c r="A77" s="30" t="s">
        <v>40</v>
      </c>
      <c r="B77" s="37"/>
      <c r="C77" s="37"/>
      <c r="D77" s="37"/>
      <c r="E77" s="37"/>
      <c r="F77" s="37"/>
      <c r="G77" s="37"/>
      <c r="H77" s="37"/>
      <c r="I77" s="37"/>
      <c r="J77" s="37"/>
      <c r="K77" s="37"/>
      <c r="L77" s="37"/>
      <c r="M77" s="37"/>
      <c r="N77" s="37"/>
      <c r="O77" s="39"/>
    </row>
    <row r="78" spans="1:15" ht="15" x14ac:dyDescent="0.2">
      <c r="A78" s="30" t="s">
        <v>41</v>
      </c>
      <c r="B78" s="37"/>
      <c r="C78" s="38"/>
      <c r="D78" s="37"/>
      <c r="E78" s="37"/>
      <c r="F78" s="37"/>
      <c r="G78" s="37"/>
      <c r="H78" s="37"/>
      <c r="I78" s="37"/>
      <c r="J78" s="37"/>
      <c r="K78" s="37"/>
      <c r="L78" s="37"/>
      <c r="M78" s="37"/>
      <c r="N78" s="37"/>
    </row>
    <row r="79" spans="1:15" x14ac:dyDescent="0.2">
      <c r="A79" s="30" t="s">
        <v>25</v>
      </c>
      <c r="B79" s="37"/>
      <c r="C79" s="37"/>
      <c r="D79" s="37"/>
      <c r="E79" s="37"/>
      <c r="F79" s="37"/>
      <c r="G79" s="37"/>
      <c r="H79" s="37"/>
      <c r="I79" s="37"/>
      <c r="J79" s="37"/>
      <c r="K79" s="37"/>
      <c r="L79" s="37"/>
      <c r="M79" s="37"/>
      <c r="N79" s="37"/>
    </row>
    <row r="80" spans="1:15" ht="15" x14ac:dyDescent="0.2">
      <c r="A80" s="30" t="s">
        <v>42</v>
      </c>
      <c r="B80" s="37"/>
      <c r="C80" s="37"/>
      <c r="D80" s="37"/>
      <c r="E80" s="37"/>
      <c r="F80" s="37"/>
      <c r="G80" s="37"/>
      <c r="H80" s="41"/>
      <c r="I80" s="37"/>
      <c r="J80" s="41"/>
      <c r="K80" s="37"/>
      <c r="L80" s="38"/>
      <c r="M80" s="37"/>
      <c r="N80" s="37"/>
    </row>
    <row r="81" spans="1:14" ht="15" x14ac:dyDescent="0.2">
      <c r="A81" s="25" t="s">
        <v>17</v>
      </c>
      <c r="B81" s="36"/>
      <c r="C81" s="36"/>
      <c r="D81" s="36"/>
      <c r="E81" s="36"/>
      <c r="F81" s="36"/>
      <c r="G81" s="36"/>
      <c r="H81" s="36"/>
      <c r="I81" s="38"/>
      <c r="J81" s="36"/>
      <c r="K81" s="36"/>
      <c r="L81" s="36"/>
      <c r="M81" s="36"/>
      <c r="N81" s="38"/>
    </row>
    <row r="82" spans="1:14" x14ac:dyDescent="0.2">
      <c r="A82" s="30" t="s">
        <v>40</v>
      </c>
      <c r="B82" s="37"/>
      <c r="C82" s="37"/>
      <c r="D82" s="37"/>
      <c r="E82" s="37"/>
      <c r="F82" s="37"/>
      <c r="G82" s="37"/>
      <c r="H82" s="37"/>
      <c r="I82" s="37"/>
      <c r="J82" s="37"/>
      <c r="K82" s="37"/>
      <c r="L82" s="37"/>
      <c r="M82" s="37"/>
      <c r="N82" s="37"/>
    </row>
    <row r="83" spans="1:14" x14ac:dyDescent="0.2">
      <c r="A83" s="30" t="s">
        <v>41</v>
      </c>
      <c r="B83" s="37"/>
      <c r="C83" s="37"/>
      <c r="D83" s="37"/>
      <c r="E83" s="37"/>
      <c r="F83" s="37"/>
      <c r="G83" s="37"/>
      <c r="H83" s="37"/>
      <c r="I83" s="37"/>
      <c r="J83" s="37"/>
      <c r="K83" s="37"/>
      <c r="L83" s="37"/>
      <c r="M83" s="37"/>
      <c r="N83" s="37"/>
    </row>
    <row r="84" spans="1:14" x14ac:dyDescent="0.2">
      <c r="A84" s="30" t="s">
        <v>25</v>
      </c>
      <c r="B84" s="37"/>
      <c r="C84" s="37"/>
      <c r="D84" s="37"/>
      <c r="E84" s="37"/>
      <c r="F84" s="37"/>
      <c r="G84" s="37"/>
      <c r="H84" s="37"/>
      <c r="I84" s="37"/>
      <c r="J84" s="37"/>
      <c r="K84" s="37"/>
      <c r="L84" s="37"/>
      <c r="M84" s="37"/>
      <c r="N84" s="37"/>
    </row>
    <row r="85" spans="1:14" x14ac:dyDescent="0.2">
      <c r="A85" s="30" t="s">
        <v>42</v>
      </c>
      <c r="B85" s="37"/>
      <c r="C85" s="37"/>
      <c r="D85" s="37"/>
      <c r="E85" s="37"/>
      <c r="F85" s="37"/>
      <c r="G85" s="37"/>
      <c r="H85" s="37"/>
      <c r="I85" s="37"/>
      <c r="J85" s="37"/>
      <c r="K85" s="37"/>
      <c r="L85" s="37"/>
      <c r="M85" s="37"/>
      <c r="N85" s="37"/>
    </row>
    <row r="86" spans="1:14" ht="15" x14ac:dyDescent="0.2">
      <c r="A86" s="25" t="s">
        <v>17</v>
      </c>
      <c r="B86" s="36"/>
      <c r="C86" s="38"/>
      <c r="D86" s="36"/>
      <c r="E86" s="36"/>
      <c r="F86" s="36"/>
      <c r="G86" s="36"/>
      <c r="H86" s="36"/>
      <c r="I86" s="38"/>
      <c r="J86" s="36"/>
      <c r="K86" s="36"/>
      <c r="L86" s="36"/>
      <c r="M86" s="36"/>
      <c r="N86" s="38"/>
    </row>
    <row r="87" spans="1:14" ht="15" x14ac:dyDescent="0.2">
      <c r="A87" s="30" t="s">
        <v>40</v>
      </c>
      <c r="B87" s="37"/>
      <c r="C87" s="38"/>
      <c r="D87" s="37"/>
      <c r="E87" s="37"/>
      <c r="F87" s="37"/>
      <c r="G87" s="37"/>
      <c r="H87" s="37"/>
      <c r="I87" s="37"/>
      <c r="J87" s="37"/>
      <c r="K87" s="37"/>
      <c r="L87" s="37"/>
      <c r="M87" s="37"/>
      <c r="N87" s="37"/>
    </row>
    <row r="88" spans="1:14" ht="15" x14ac:dyDescent="0.2">
      <c r="A88" s="30" t="s">
        <v>41</v>
      </c>
      <c r="B88" s="37"/>
      <c r="C88" s="38"/>
      <c r="D88" s="37"/>
      <c r="E88" s="37"/>
      <c r="F88" s="37"/>
      <c r="G88" s="37"/>
      <c r="H88" s="37"/>
      <c r="I88" s="37"/>
      <c r="J88" s="37"/>
      <c r="K88" s="37"/>
      <c r="L88" s="37"/>
      <c r="M88" s="37"/>
      <c r="N88" s="37"/>
    </row>
    <row r="89" spans="1:14" ht="15" x14ac:dyDescent="0.2">
      <c r="A89" s="30" t="s">
        <v>25</v>
      </c>
      <c r="B89" s="37"/>
      <c r="C89" s="38"/>
      <c r="D89" s="37"/>
      <c r="E89" s="37"/>
      <c r="F89" s="37"/>
      <c r="G89" s="37"/>
      <c r="H89" s="37"/>
      <c r="I89" s="37"/>
      <c r="J89" s="37"/>
      <c r="K89" s="37"/>
      <c r="L89" s="37"/>
      <c r="M89" s="37"/>
      <c r="N89" s="37"/>
    </row>
    <row r="90" spans="1:14" ht="15" x14ac:dyDescent="0.2">
      <c r="A90" s="30" t="s">
        <v>42</v>
      </c>
      <c r="B90" s="37"/>
      <c r="C90" s="38"/>
      <c r="D90" s="37"/>
      <c r="E90" s="37"/>
      <c r="F90" s="37"/>
      <c r="G90" s="37"/>
      <c r="H90" s="37"/>
      <c r="I90" s="37"/>
      <c r="J90" s="37"/>
      <c r="K90" s="37"/>
      <c r="L90" s="37"/>
      <c r="M90" s="37"/>
      <c r="N90" s="37"/>
    </row>
    <row r="91" spans="1:14" ht="15" x14ac:dyDescent="0.2">
      <c r="A91" s="25" t="s">
        <v>17</v>
      </c>
      <c r="B91" s="36"/>
      <c r="C91" s="38"/>
      <c r="D91" s="36"/>
      <c r="E91" s="36"/>
      <c r="F91" s="36"/>
      <c r="G91" s="36"/>
      <c r="H91" s="36"/>
      <c r="I91" s="38"/>
      <c r="J91" s="36"/>
      <c r="K91" s="36"/>
      <c r="L91" s="38"/>
      <c r="M91" s="36"/>
      <c r="N91" s="38"/>
    </row>
    <row r="92" spans="1:14" ht="15" x14ac:dyDescent="0.2">
      <c r="A92" s="30" t="s">
        <v>40</v>
      </c>
      <c r="B92" s="37"/>
      <c r="C92" s="37"/>
      <c r="D92" s="37"/>
      <c r="E92" s="37"/>
      <c r="F92" s="37"/>
      <c r="G92" s="37"/>
      <c r="H92" s="38"/>
      <c r="I92" s="37"/>
      <c r="J92" s="37"/>
      <c r="K92" s="37"/>
      <c r="L92" s="37"/>
      <c r="M92" s="37"/>
      <c r="N92" s="37"/>
    </row>
    <row r="93" spans="1:14" ht="15" x14ac:dyDescent="0.2">
      <c r="A93" s="30" t="s">
        <v>41</v>
      </c>
      <c r="B93" s="37"/>
      <c r="C93" s="37"/>
      <c r="D93" s="37"/>
      <c r="E93" s="37"/>
      <c r="F93" s="37"/>
      <c r="G93" s="37"/>
      <c r="H93" s="38"/>
      <c r="I93" s="37"/>
      <c r="J93" s="37"/>
      <c r="K93" s="37"/>
      <c r="L93" s="37"/>
      <c r="M93" s="37"/>
      <c r="N93" s="37"/>
    </row>
    <row r="94" spans="1:14" ht="15" x14ac:dyDescent="0.2">
      <c r="A94" s="30" t="s">
        <v>25</v>
      </c>
      <c r="B94" s="37"/>
      <c r="C94" s="37"/>
      <c r="D94" s="37"/>
      <c r="E94" s="37"/>
      <c r="F94" s="37"/>
      <c r="G94" s="37"/>
      <c r="H94" s="38"/>
      <c r="I94" s="37"/>
      <c r="J94" s="37"/>
      <c r="K94" s="37"/>
      <c r="L94" s="37"/>
      <c r="M94" s="37"/>
      <c r="N94" s="37"/>
    </row>
    <row r="95" spans="1:14" ht="15" x14ac:dyDescent="0.2">
      <c r="A95" s="30" t="s">
        <v>42</v>
      </c>
      <c r="B95" s="37"/>
      <c r="C95" s="37"/>
      <c r="D95" s="37"/>
      <c r="E95" s="37"/>
      <c r="F95" s="37"/>
      <c r="G95" s="37"/>
      <c r="H95" s="38"/>
      <c r="I95" s="37"/>
      <c r="J95" s="37"/>
      <c r="K95" s="37"/>
      <c r="L95" s="37"/>
      <c r="M95" s="37"/>
      <c r="N95" s="37"/>
    </row>
    <row r="96" spans="1:14" ht="15" x14ac:dyDescent="0.2">
      <c r="A96" s="25" t="s">
        <v>17</v>
      </c>
      <c r="B96" s="36"/>
      <c r="C96" s="37"/>
      <c r="D96" s="36"/>
      <c r="E96" s="36"/>
      <c r="F96" s="36"/>
      <c r="G96" s="36"/>
      <c r="H96" s="36"/>
      <c r="I96" s="38"/>
      <c r="J96" s="36"/>
      <c r="K96" s="36"/>
      <c r="L96" s="36"/>
      <c r="M96" s="36"/>
      <c r="N96" s="38"/>
    </row>
    <row r="97" spans="1:14" ht="15" x14ac:dyDescent="0.2">
      <c r="A97" s="30" t="s">
        <v>40</v>
      </c>
      <c r="B97" s="37"/>
      <c r="C97" s="37"/>
      <c r="D97" s="37"/>
      <c r="E97" s="37"/>
      <c r="F97" s="37"/>
      <c r="G97" s="37"/>
      <c r="H97" s="38"/>
      <c r="I97" s="37"/>
      <c r="J97" s="38"/>
      <c r="K97" s="37"/>
      <c r="L97" s="37"/>
      <c r="M97" s="37"/>
      <c r="N97" s="37"/>
    </row>
    <row r="98" spans="1:14" ht="15" x14ac:dyDescent="0.2">
      <c r="A98" s="30" t="s">
        <v>41</v>
      </c>
      <c r="B98" s="37"/>
      <c r="C98" s="37"/>
      <c r="D98" s="37"/>
      <c r="E98" s="37"/>
      <c r="F98" s="37"/>
      <c r="G98" s="37"/>
      <c r="H98" s="38"/>
      <c r="I98" s="37"/>
      <c r="J98" s="38"/>
      <c r="K98" s="37"/>
      <c r="L98" s="37"/>
      <c r="M98" s="37"/>
      <c r="N98" s="37"/>
    </row>
    <row r="99" spans="1:14" ht="15" x14ac:dyDescent="0.2">
      <c r="A99" s="30" t="s">
        <v>25</v>
      </c>
      <c r="B99" s="37"/>
      <c r="C99" s="37"/>
      <c r="D99" s="37"/>
      <c r="E99" s="37"/>
      <c r="F99" s="37"/>
      <c r="G99" s="37"/>
      <c r="H99" s="38"/>
      <c r="I99" s="37"/>
      <c r="J99" s="38"/>
      <c r="K99" s="37"/>
      <c r="L99" s="37"/>
      <c r="M99" s="37"/>
      <c r="N99" s="37"/>
    </row>
    <row r="100" spans="1:14" ht="15" x14ac:dyDescent="0.2">
      <c r="A100" s="30" t="s">
        <v>42</v>
      </c>
      <c r="B100" s="37"/>
      <c r="C100" s="37"/>
      <c r="D100" s="37"/>
      <c r="E100" s="37"/>
      <c r="F100" s="37"/>
      <c r="G100" s="37"/>
      <c r="H100" s="38"/>
      <c r="I100" s="37"/>
      <c r="J100" s="38"/>
      <c r="K100" s="37"/>
      <c r="L100" s="37"/>
      <c r="M100" s="37"/>
      <c r="N100" s="37"/>
    </row>
    <row r="101" spans="1:14" ht="15" x14ac:dyDescent="0.2">
      <c r="A101" s="25" t="s">
        <v>17</v>
      </c>
      <c r="B101" s="36"/>
      <c r="C101" s="38"/>
      <c r="D101" s="36"/>
      <c r="E101" s="36"/>
      <c r="F101" s="36"/>
      <c r="G101" s="36"/>
      <c r="H101" s="40"/>
      <c r="I101" s="38"/>
      <c r="J101" s="36"/>
      <c r="K101" s="36"/>
      <c r="L101" s="36"/>
      <c r="M101" s="36"/>
      <c r="N101" s="38"/>
    </row>
    <row r="102" spans="1:14" ht="15" x14ac:dyDescent="0.2">
      <c r="A102" s="30" t="s">
        <v>40</v>
      </c>
      <c r="B102" s="37"/>
      <c r="C102" s="37"/>
      <c r="D102" s="37"/>
      <c r="E102" s="37"/>
      <c r="F102" s="37"/>
      <c r="G102" s="37"/>
      <c r="H102" s="38"/>
      <c r="I102" s="37"/>
      <c r="J102" s="38"/>
      <c r="K102" s="37"/>
      <c r="L102" s="37"/>
      <c r="M102" s="37"/>
      <c r="N102" s="37"/>
    </row>
    <row r="103" spans="1:14" ht="15" x14ac:dyDescent="0.2">
      <c r="A103" s="30" t="s">
        <v>41</v>
      </c>
      <c r="B103" s="37"/>
      <c r="C103" s="37"/>
      <c r="D103" s="37"/>
      <c r="E103" s="37"/>
      <c r="F103" s="37"/>
      <c r="G103" s="37"/>
      <c r="H103" s="38"/>
      <c r="I103" s="37"/>
      <c r="J103" s="38"/>
      <c r="K103" s="37"/>
      <c r="L103" s="37"/>
      <c r="M103" s="37"/>
      <c r="N103" s="37"/>
    </row>
    <row r="104" spans="1:14" ht="15" x14ac:dyDescent="0.2">
      <c r="A104" s="30" t="s">
        <v>25</v>
      </c>
      <c r="B104" s="37"/>
      <c r="C104" s="37"/>
      <c r="D104" s="37"/>
      <c r="E104" s="37"/>
      <c r="F104" s="37"/>
      <c r="G104" s="37"/>
      <c r="H104" s="38"/>
      <c r="I104" s="37"/>
      <c r="J104" s="38"/>
      <c r="K104" s="37"/>
      <c r="L104" s="37"/>
      <c r="M104" s="37"/>
      <c r="N104" s="37"/>
    </row>
    <row r="105" spans="1:14" ht="15" x14ac:dyDescent="0.2">
      <c r="A105" s="30" t="s">
        <v>42</v>
      </c>
      <c r="B105" s="37"/>
      <c r="C105" s="37"/>
      <c r="D105" s="37"/>
      <c r="E105" s="37"/>
      <c r="F105" s="37"/>
      <c r="G105" s="37"/>
      <c r="H105" s="37"/>
      <c r="I105" s="37"/>
      <c r="J105" s="38"/>
      <c r="K105" s="37"/>
      <c r="L105" s="37"/>
      <c r="M105" s="37"/>
      <c r="N105" s="37"/>
    </row>
    <row r="106" spans="1:14" ht="15" x14ac:dyDescent="0.2">
      <c r="A106" s="25" t="s">
        <v>17</v>
      </c>
      <c r="B106" s="36"/>
      <c r="C106" s="37"/>
      <c r="D106" s="36"/>
      <c r="E106" s="36"/>
      <c r="F106" s="36"/>
      <c r="G106" s="36"/>
      <c r="H106" s="40"/>
      <c r="I106" s="37"/>
      <c r="J106" s="40"/>
      <c r="K106" s="36"/>
      <c r="L106" s="36"/>
      <c r="M106" s="36"/>
      <c r="N106" s="37"/>
    </row>
    <row r="107" spans="1:14" ht="15" x14ac:dyDescent="0.2">
      <c r="A107" s="30" t="s">
        <v>40</v>
      </c>
      <c r="B107" s="37"/>
      <c r="C107" s="37"/>
      <c r="D107" s="37"/>
      <c r="E107" s="37"/>
      <c r="F107" s="37"/>
      <c r="G107" s="37"/>
      <c r="H107" s="38"/>
      <c r="I107" s="37"/>
      <c r="J107" s="38"/>
      <c r="K107" s="37"/>
      <c r="L107" s="37"/>
      <c r="M107" s="37"/>
      <c r="N107" s="37"/>
    </row>
    <row r="108" spans="1:14" ht="15" x14ac:dyDescent="0.2">
      <c r="A108" s="30" t="s">
        <v>41</v>
      </c>
      <c r="B108" s="37"/>
      <c r="C108" s="37"/>
      <c r="D108" s="37"/>
      <c r="E108" s="37"/>
      <c r="F108" s="37"/>
      <c r="G108" s="37"/>
      <c r="H108" s="38"/>
      <c r="I108" s="37"/>
      <c r="J108" s="38"/>
      <c r="K108" s="37"/>
      <c r="L108" s="37"/>
      <c r="M108" s="37"/>
      <c r="N108" s="37"/>
    </row>
    <row r="109" spans="1:14" ht="15" x14ac:dyDescent="0.2">
      <c r="A109" s="30" t="s">
        <v>25</v>
      </c>
      <c r="B109" s="37"/>
      <c r="C109" s="37"/>
      <c r="D109" s="37"/>
      <c r="E109" s="37"/>
      <c r="F109" s="37"/>
      <c r="G109" s="37"/>
      <c r="H109" s="38"/>
      <c r="I109" s="37"/>
      <c r="J109" s="38"/>
      <c r="K109" s="37"/>
      <c r="L109" s="37"/>
      <c r="M109" s="37"/>
      <c r="N109" s="37"/>
    </row>
    <row r="110" spans="1:14" ht="63" customHeight="1" x14ac:dyDescent="0.2">
      <c r="A110" s="30" t="s">
        <v>42</v>
      </c>
      <c r="B110" s="37"/>
      <c r="C110" s="38"/>
      <c r="D110" s="37"/>
      <c r="E110" s="37"/>
      <c r="F110" s="41"/>
      <c r="G110" s="37"/>
      <c r="H110" s="37"/>
      <c r="I110" s="38"/>
      <c r="J110" s="37"/>
      <c r="K110" s="37"/>
      <c r="L110" s="37"/>
      <c r="M110" s="37"/>
      <c r="N110" s="38"/>
    </row>
    <row r="111" spans="1:14" ht="15" x14ac:dyDescent="0.2">
      <c r="A111" s="25" t="s">
        <v>17</v>
      </c>
      <c r="B111" s="36"/>
      <c r="C111" s="38"/>
      <c r="D111" s="37"/>
      <c r="E111" s="36"/>
      <c r="F111" s="42"/>
      <c r="G111" s="36"/>
      <c r="H111" s="40"/>
      <c r="I111" s="38"/>
      <c r="J111" s="40"/>
      <c r="K111" s="36"/>
      <c r="L111" s="36"/>
      <c r="M111" s="36"/>
      <c r="N111" s="38"/>
    </row>
    <row r="112" spans="1:14" ht="15" x14ac:dyDescent="0.2">
      <c r="A112" s="30" t="s">
        <v>40</v>
      </c>
      <c r="B112" s="38"/>
      <c r="C112" s="38"/>
      <c r="D112" s="37"/>
      <c r="E112" s="37"/>
      <c r="F112" s="43"/>
      <c r="G112" s="37"/>
      <c r="H112" s="37"/>
      <c r="I112" s="38"/>
      <c r="J112" s="37"/>
      <c r="K112" s="37"/>
      <c r="L112" s="37"/>
      <c r="M112" s="37"/>
      <c r="N112" s="38"/>
    </row>
    <row r="113" spans="1:14" ht="15" x14ac:dyDescent="0.2">
      <c r="A113" s="30" t="s">
        <v>41</v>
      </c>
      <c r="B113" s="38"/>
      <c r="C113" s="38"/>
      <c r="D113" s="37"/>
      <c r="E113" s="37"/>
      <c r="F113" s="43"/>
      <c r="G113" s="37"/>
      <c r="H113" s="37"/>
      <c r="I113" s="38"/>
      <c r="J113" s="37"/>
      <c r="K113" s="37"/>
      <c r="L113" s="37"/>
      <c r="M113" s="37"/>
      <c r="N113" s="38"/>
    </row>
    <row r="114" spans="1:14" ht="15" x14ac:dyDescent="0.2">
      <c r="A114" s="30" t="s">
        <v>25</v>
      </c>
      <c r="B114" s="38"/>
      <c r="C114" s="38"/>
      <c r="D114" s="37"/>
      <c r="E114" s="37"/>
      <c r="F114" s="43"/>
      <c r="G114" s="37"/>
      <c r="H114" s="37"/>
      <c r="I114" s="38"/>
      <c r="J114" s="37"/>
      <c r="K114" s="37"/>
      <c r="L114" s="37"/>
      <c r="M114" s="37"/>
      <c r="N114" s="38"/>
    </row>
    <row r="115" spans="1:14" ht="15" x14ac:dyDescent="0.2">
      <c r="A115" s="30" t="s">
        <v>42</v>
      </c>
      <c r="B115" s="38"/>
      <c r="C115" s="38"/>
      <c r="D115" s="37"/>
      <c r="E115" s="37"/>
      <c r="F115" s="43"/>
      <c r="G115" s="37"/>
      <c r="H115" s="37"/>
      <c r="I115" s="38"/>
      <c r="J115" s="37"/>
      <c r="K115" s="37"/>
      <c r="L115" s="37"/>
      <c r="M115" s="37"/>
      <c r="N115" s="38"/>
    </row>
    <row r="116" spans="1:14" ht="15" x14ac:dyDescent="0.2">
      <c r="A116" s="25" t="s">
        <v>17</v>
      </c>
      <c r="B116" s="38"/>
      <c r="C116" s="38"/>
      <c r="D116" s="37"/>
      <c r="E116" s="37"/>
      <c r="F116" s="42"/>
      <c r="G116" s="37"/>
      <c r="H116" s="40"/>
      <c r="I116" s="38"/>
      <c r="J116" s="40"/>
      <c r="K116" s="36"/>
      <c r="L116" s="36"/>
      <c r="M116" s="37"/>
      <c r="N116" s="38"/>
    </row>
    <row r="117" spans="1:14" ht="15" x14ac:dyDescent="0.2">
      <c r="A117" s="30" t="s">
        <v>40</v>
      </c>
      <c r="B117" s="37"/>
      <c r="C117" s="38"/>
      <c r="D117" s="37"/>
      <c r="E117" s="37"/>
      <c r="F117" s="43"/>
      <c r="G117" s="37"/>
      <c r="H117" s="37"/>
      <c r="I117" s="38"/>
      <c r="J117" s="37"/>
      <c r="K117" s="38"/>
      <c r="L117" s="38"/>
      <c r="M117" s="37"/>
      <c r="N117" s="38"/>
    </row>
    <row r="118" spans="1:14" ht="15" x14ac:dyDescent="0.2">
      <c r="A118" s="30" t="s">
        <v>41</v>
      </c>
      <c r="B118" s="37"/>
      <c r="C118" s="38"/>
      <c r="D118" s="37"/>
      <c r="E118" s="37"/>
      <c r="F118" s="43"/>
      <c r="G118" s="37"/>
      <c r="H118" s="37"/>
      <c r="I118" s="38"/>
      <c r="J118" s="37"/>
      <c r="K118" s="38"/>
      <c r="L118" s="38"/>
      <c r="M118" s="37"/>
      <c r="N118" s="38"/>
    </row>
    <row r="119" spans="1:14" ht="15" x14ac:dyDescent="0.2">
      <c r="A119" s="30" t="s">
        <v>25</v>
      </c>
      <c r="B119" s="38"/>
      <c r="C119" s="38"/>
      <c r="D119" s="37"/>
      <c r="E119" s="37"/>
      <c r="F119" s="43"/>
      <c r="G119" s="37"/>
      <c r="H119" s="37"/>
      <c r="I119" s="38"/>
      <c r="J119" s="37"/>
      <c r="K119" s="38"/>
      <c r="L119" s="38"/>
      <c r="M119" s="37"/>
      <c r="N119" s="38"/>
    </row>
    <row r="120" spans="1:14" ht="15" x14ac:dyDescent="0.2">
      <c r="A120" s="30" t="s">
        <v>42</v>
      </c>
      <c r="B120" s="38"/>
      <c r="C120" s="38"/>
      <c r="D120" s="38"/>
      <c r="E120" s="38"/>
      <c r="F120" s="43"/>
      <c r="G120" s="38"/>
      <c r="H120" s="37"/>
      <c r="I120" s="38"/>
      <c r="J120" s="37"/>
      <c r="K120" s="38"/>
      <c r="L120" s="38"/>
      <c r="M120" s="38"/>
      <c r="N120" s="38"/>
    </row>
    <row r="121" spans="1:14" ht="15" x14ac:dyDescent="0.2">
      <c r="A121" s="25" t="s">
        <v>17</v>
      </c>
      <c r="B121" s="37"/>
      <c r="C121" s="38"/>
      <c r="D121" s="38"/>
      <c r="E121" s="37"/>
      <c r="F121" s="42"/>
      <c r="G121" s="37"/>
      <c r="H121" s="37"/>
      <c r="I121" s="38"/>
      <c r="J121" s="37"/>
      <c r="K121" s="36"/>
      <c r="L121" s="36"/>
      <c r="M121" s="37"/>
      <c r="N121" s="38"/>
    </row>
    <row r="122" spans="1:14" ht="15" x14ac:dyDescent="0.2">
      <c r="A122" s="30" t="s">
        <v>40</v>
      </c>
      <c r="B122" s="37"/>
      <c r="C122" s="38"/>
      <c r="D122" s="38"/>
      <c r="E122" s="38"/>
      <c r="F122" s="38"/>
      <c r="G122" s="38"/>
      <c r="H122" s="40"/>
      <c r="I122" s="38"/>
      <c r="J122" s="40"/>
      <c r="K122" s="38"/>
      <c r="L122" s="38"/>
      <c r="M122" s="38"/>
      <c r="N122" s="38"/>
    </row>
    <row r="123" spans="1:14" ht="15" x14ac:dyDescent="0.2">
      <c r="A123" s="30" t="s">
        <v>41</v>
      </c>
      <c r="B123" s="37"/>
      <c r="C123" s="38"/>
      <c r="D123" s="38"/>
      <c r="E123" s="38"/>
      <c r="F123" s="38"/>
      <c r="G123" s="38"/>
      <c r="H123" s="37"/>
      <c r="I123" s="38"/>
      <c r="J123" s="37"/>
      <c r="K123" s="38"/>
      <c r="L123" s="38"/>
      <c r="M123" s="38"/>
      <c r="N123" s="38"/>
    </row>
    <row r="124" spans="1:14" ht="15" x14ac:dyDescent="0.2">
      <c r="A124" s="30" t="s">
        <v>25</v>
      </c>
      <c r="B124" s="38"/>
      <c r="C124" s="38"/>
      <c r="D124" s="38"/>
      <c r="E124" s="38"/>
      <c r="F124" s="38"/>
      <c r="G124" s="38"/>
      <c r="H124" s="37"/>
      <c r="I124" s="38"/>
      <c r="J124" s="37"/>
      <c r="K124" s="38"/>
      <c r="L124" s="38"/>
      <c r="M124" s="38"/>
      <c r="N124" s="38"/>
    </row>
    <row r="125" spans="1:14" ht="15" x14ac:dyDescent="0.2">
      <c r="A125" s="30" t="s">
        <v>42</v>
      </c>
      <c r="B125" s="38"/>
      <c r="C125" s="38"/>
      <c r="D125" s="38"/>
      <c r="E125" s="38"/>
      <c r="F125" s="38"/>
      <c r="G125" s="38"/>
      <c r="H125" s="37"/>
      <c r="I125" s="38"/>
      <c r="J125" s="37"/>
      <c r="K125" s="38"/>
      <c r="L125" s="38"/>
      <c r="M125" s="38"/>
      <c r="N125" s="38"/>
    </row>
    <row r="126" spans="1:14" ht="15" x14ac:dyDescent="0.2">
      <c r="A126" s="25" t="s">
        <v>17</v>
      </c>
      <c r="B126" s="37"/>
      <c r="C126" s="38"/>
      <c r="D126" s="38"/>
      <c r="E126" s="38"/>
      <c r="F126" s="37"/>
      <c r="G126" s="38"/>
      <c r="H126" s="37"/>
      <c r="I126" s="38"/>
      <c r="J126" s="37"/>
      <c r="K126" s="36"/>
      <c r="L126" s="36"/>
      <c r="M126" s="38"/>
      <c r="N126" s="38"/>
    </row>
    <row r="127" spans="1:14" ht="15" x14ac:dyDescent="0.2">
      <c r="A127" s="30" t="s">
        <v>40</v>
      </c>
      <c r="B127" s="37"/>
      <c r="C127" s="38"/>
      <c r="D127" s="38"/>
      <c r="E127" s="38"/>
      <c r="F127" s="37"/>
      <c r="G127" s="38"/>
      <c r="H127" s="40"/>
      <c r="I127" s="38"/>
      <c r="J127" s="40"/>
      <c r="K127" s="38"/>
      <c r="L127" s="38"/>
      <c r="M127" s="38"/>
      <c r="N127" s="38"/>
    </row>
    <row r="128" spans="1:14" ht="15" x14ac:dyDescent="0.2">
      <c r="A128" s="30" t="s">
        <v>41</v>
      </c>
      <c r="B128" s="37"/>
      <c r="C128" s="38"/>
      <c r="D128" s="38"/>
      <c r="E128" s="38"/>
      <c r="F128" s="37"/>
      <c r="G128" s="38"/>
      <c r="H128" s="37"/>
      <c r="I128" s="38"/>
      <c r="J128" s="37"/>
      <c r="K128" s="38"/>
      <c r="L128" s="38"/>
      <c r="M128" s="38"/>
      <c r="N128" s="38"/>
    </row>
    <row r="129" spans="1:14" ht="15" x14ac:dyDescent="0.2">
      <c r="A129" s="30" t="s">
        <v>25</v>
      </c>
      <c r="B129" s="38"/>
      <c r="C129" s="38"/>
      <c r="D129" s="38"/>
      <c r="E129" s="38"/>
      <c r="F129" s="37"/>
      <c r="G129" s="38"/>
      <c r="H129" s="37"/>
      <c r="I129" s="38"/>
      <c r="J129" s="37"/>
      <c r="K129" s="38"/>
      <c r="L129" s="38"/>
      <c r="M129" s="38"/>
      <c r="N129" s="38"/>
    </row>
    <row r="130" spans="1:14" ht="39.950000000000003" customHeight="1" x14ac:dyDescent="0.2">
      <c r="A130" s="30" t="s">
        <v>42</v>
      </c>
      <c r="B130" s="38"/>
      <c r="C130" s="38"/>
      <c r="D130" s="38"/>
      <c r="E130" s="38"/>
      <c r="F130" s="37"/>
      <c r="G130" s="38"/>
      <c r="H130" s="37"/>
      <c r="I130" s="38"/>
      <c r="J130" s="37"/>
      <c r="K130" s="38"/>
      <c r="L130" s="38"/>
      <c r="M130" s="38"/>
      <c r="N130" s="38"/>
    </row>
    <row r="131" spans="1:14" ht="15" x14ac:dyDescent="0.2">
      <c r="A131" s="25" t="s">
        <v>17</v>
      </c>
      <c r="B131" s="37"/>
      <c r="C131" s="38"/>
      <c r="D131" s="38"/>
      <c r="E131" s="38"/>
      <c r="F131" s="37"/>
      <c r="G131" s="38"/>
      <c r="H131" s="36"/>
      <c r="I131" s="38"/>
      <c r="J131" s="36"/>
      <c r="K131" s="36"/>
      <c r="L131" s="36"/>
      <c r="M131" s="38"/>
      <c r="N131" s="36"/>
    </row>
    <row r="132" spans="1:14" ht="15" x14ac:dyDescent="0.2">
      <c r="A132" s="30" t="s">
        <v>40</v>
      </c>
      <c r="B132" s="37"/>
      <c r="C132" s="38"/>
      <c r="D132" s="38"/>
      <c r="E132" s="37"/>
      <c r="F132" s="37"/>
      <c r="G132" s="37"/>
      <c r="H132" s="37"/>
      <c r="I132" s="38"/>
      <c r="J132" s="37"/>
      <c r="K132" s="38"/>
      <c r="L132" s="38"/>
      <c r="M132" s="37"/>
      <c r="N132" s="38"/>
    </row>
    <row r="133" spans="1:14" ht="15" x14ac:dyDescent="0.2">
      <c r="A133" s="30" t="s">
        <v>41</v>
      </c>
      <c r="B133" s="37"/>
      <c r="C133" s="38"/>
      <c r="D133" s="38"/>
      <c r="E133" s="37"/>
      <c r="F133" s="37"/>
      <c r="G133" s="37"/>
      <c r="H133" s="37"/>
      <c r="I133" s="38"/>
      <c r="J133" s="37"/>
      <c r="K133" s="38"/>
      <c r="L133" s="38"/>
      <c r="M133" s="37"/>
      <c r="N133" s="38"/>
    </row>
    <row r="134" spans="1:14" ht="15" x14ac:dyDescent="0.2">
      <c r="A134" s="30" t="s">
        <v>25</v>
      </c>
      <c r="B134" s="38"/>
      <c r="C134" s="38"/>
      <c r="D134" s="38"/>
      <c r="E134" s="37"/>
      <c r="F134" s="37"/>
      <c r="G134" s="37"/>
      <c r="H134" s="37"/>
      <c r="I134" s="38"/>
      <c r="J134" s="37"/>
      <c r="K134" s="38"/>
      <c r="L134" s="38"/>
      <c r="M134" s="37"/>
      <c r="N134" s="38"/>
    </row>
    <row r="135" spans="1:14" ht="15" x14ac:dyDescent="0.2">
      <c r="A135" s="30" t="s">
        <v>42</v>
      </c>
      <c r="B135" s="38"/>
      <c r="C135" s="38"/>
      <c r="D135" s="38"/>
      <c r="E135" s="37"/>
      <c r="F135" s="37"/>
      <c r="G135" s="37"/>
      <c r="H135" s="37"/>
      <c r="I135" s="38"/>
      <c r="J135" s="37"/>
      <c r="K135" s="38"/>
      <c r="L135" s="38"/>
      <c r="M135" s="37"/>
      <c r="N135" s="38"/>
    </row>
    <row r="136" spans="1:14" ht="15" x14ac:dyDescent="0.2">
      <c r="A136" s="25" t="s">
        <v>17</v>
      </c>
      <c r="B136" s="37"/>
      <c r="C136" s="38"/>
      <c r="D136" s="38"/>
      <c r="E136" s="37"/>
      <c r="F136" s="37"/>
      <c r="G136" s="37"/>
      <c r="H136" s="38"/>
      <c r="I136" s="38"/>
      <c r="J136" s="40"/>
      <c r="K136" s="36"/>
      <c r="L136" s="36"/>
      <c r="M136" s="37"/>
      <c r="N136" s="36"/>
    </row>
    <row r="137" spans="1:14" ht="15" x14ac:dyDescent="0.2">
      <c r="A137" s="30" t="s">
        <v>40</v>
      </c>
      <c r="B137" s="37"/>
      <c r="C137" s="38"/>
      <c r="D137" s="37"/>
      <c r="E137" s="37"/>
      <c r="F137" s="37"/>
      <c r="G137" s="37"/>
      <c r="H137" s="38"/>
      <c r="I137" s="38"/>
      <c r="J137" s="38"/>
      <c r="K137" s="38"/>
      <c r="L137" s="38"/>
      <c r="M137" s="37"/>
      <c r="N137" s="38"/>
    </row>
    <row r="138" spans="1:14" ht="15" x14ac:dyDescent="0.2">
      <c r="A138" s="30" t="s">
        <v>41</v>
      </c>
      <c r="B138" s="37"/>
      <c r="C138" s="38"/>
      <c r="D138" s="37"/>
      <c r="E138" s="37"/>
      <c r="F138" s="37"/>
      <c r="G138" s="37"/>
      <c r="H138" s="38"/>
      <c r="I138" s="38"/>
      <c r="J138" s="38"/>
      <c r="K138" s="38"/>
      <c r="L138" s="38"/>
      <c r="M138" s="37"/>
      <c r="N138" s="38"/>
    </row>
    <row r="139" spans="1:14" ht="15" x14ac:dyDescent="0.2">
      <c r="A139" s="30" t="s">
        <v>25</v>
      </c>
      <c r="B139" s="38"/>
      <c r="C139" s="38"/>
      <c r="D139" s="37"/>
      <c r="E139" s="37"/>
      <c r="F139" s="37"/>
      <c r="G139" s="37"/>
      <c r="H139" s="38"/>
      <c r="I139" s="38"/>
      <c r="J139" s="38"/>
      <c r="K139" s="38"/>
      <c r="L139" s="38"/>
      <c r="M139" s="37"/>
      <c r="N139" s="38"/>
    </row>
    <row r="140" spans="1:14" ht="15" x14ac:dyDescent="0.2">
      <c r="A140" s="30" t="s">
        <v>42</v>
      </c>
      <c r="B140" s="38"/>
      <c r="C140" s="38"/>
      <c r="D140" s="37"/>
      <c r="E140" s="37"/>
      <c r="F140" s="37"/>
      <c r="G140" s="37"/>
      <c r="H140" s="38"/>
      <c r="I140" s="38"/>
      <c r="J140" s="38"/>
      <c r="K140" s="38"/>
      <c r="L140" s="38"/>
      <c r="M140" s="37"/>
      <c r="N140" s="38"/>
    </row>
    <row r="141" spans="1:14" ht="15" x14ac:dyDescent="0.2">
      <c r="A141" s="25" t="s">
        <v>17</v>
      </c>
      <c r="B141" s="37"/>
      <c r="C141" s="38"/>
      <c r="D141" s="37"/>
      <c r="E141" s="37"/>
      <c r="F141" s="37"/>
      <c r="G141" s="37"/>
      <c r="H141" s="38"/>
      <c r="I141" s="38"/>
      <c r="J141" s="38"/>
      <c r="K141" s="36"/>
      <c r="L141" s="36"/>
      <c r="M141" s="37"/>
      <c r="N141" s="36"/>
    </row>
    <row r="142" spans="1:14" ht="15" x14ac:dyDescent="0.2">
      <c r="A142" s="30" t="s">
        <v>40</v>
      </c>
      <c r="B142" s="37"/>
      <c r="C142" s="38"/>
      <c r="D142" s="37"/>
      <c r="E142" s="37"/>
      <c r="F142" s="37"/>
      <c r="G142" s="37"/>
      <c r="H142" s="38"/>
      <c r="I142" s="38"/>
      <c r="J142" s="38"/>
      <c r="K142" s="38"/>
      <c r="L142" s="38"/>
      <c r="M142" s="37"/>
      <c r="N142" s="38"/>
    </row>
    <row r="143" spans="1:14" ht="15" x14ac:dyDescent="0.2">
      <c r="A143" s="30" t="s">
        <v>41</v>
      </c>
      <c r="B143" s="37"/>
      <c r="C143" s="38"/>
      <c r="D143" s="37"/>
      <c r="E143" s="37"/>
      <c r="F143" s="37"/>
      <c r="G143" s="37"/>
      <c r="H143" s="38"/>
      <c r="I143" s="38"/>
      <c r="J143" s="38"/>
      <c r="K143" s="38"/>
      <c r="L143" s="38"/>
      <c r="M143" s="37"/>
      <c r="N143" s="38"/>
    </row>
    <row r="144" spans="1:14" ht="15" x14ac:dyDescent="0.2">
      <c r="A144" s="30" t="s">
        <v>25</v>
      </c>
      <c r="B144" s="38"/>
      <c r="C144" s="38"/>
      <c r="D144" s="37"/>
      <c r="E144" s="37"/>
      <c r="F144" s="38"/>
      <c r="G144" s="37"/>
      <c r="H144" s="38"/>
      <c r="I144" s="38"/>
      <c r="J144" s="38"/>
      <c r="K144" s="38"/>
      <c r="L144" s="38"/>
      <c r="M144" s="37"/>
      <c r="N144" s="38"/>
    </row>
    <row r="145" spans="1:14" ht="15" x14ac:dyDescent="0.2">
      <c r="A145" s="30" t="s">
        <v>42</v>
      </c>
      <c r="B145" s="38"/>
      <c r="C145" s="38"/>
      <c r="D145" s="38"/>
      <c r="E145" s="38"/>
      <c r="F145" s="38"/>
      <c r="G145" s="38"/>
      <c r="H145" s="38"/>
      <c r="I145" s="38"/>
      <c r="J145" s="38"/>
      <c r="K145" s="38"/>
      <c r="L145" s="38"/>
      <c r="M145" s="38"/>
      <c r="N145" s="38"/>
    </row>
    <row r="146" spans="1:14" ht="15" x14ac:dyDescent="0.2">
      <c r="A146" s="25" t="s">
        <v>17</v>
      </c>
      <c r="B146" s="37"/>
      <c r="C146" s="38"/>
      <c r="D146" s="37"/>
      <c r="E146" s="37"/>
      <c r="F146" s="38"/>
      <c r="G146" s="37"/>
      <c r="H146" s="38"/>
      <c r="I146" s="38"/>
      <c r="J146" s="36"/>
      <c r="K146" s="38"/>
      <c r="L146" s="38"/>
      <c r="M146" s="37"/>
      <c r="N146" s="36"/>
    </row>
    <row r="147" spans="1:14" ht="15" x14ac:dyDescent="0.2">
      <c r="A147" s="30" t="s">
        <v>40</v>
      </c>
      <c r="B147" s="37"/>
      <c r="C147" s="38"/>
      <c r="D147" s="37"/>
      <c r="E147" s="37"/>
      <c r="F147" s="38"/>
      <c r="G147" s="37"/>
      <c r="H147" s="38"/>
      <c r="I147" s="38"/>
      <c r="J147" s="38"/>
      <c r="K147" s="38"/>
      <c r="L147" s="38"/>
      <c r="M147" s="37"/>
      <c r="N147" s="38"/>
    </row>
    <row r="148" spans="1:14" ht="15" x14ac:dyDescent="0.2">
      <c r="A148" s="30" t="s">
        <v>41</v>
      </c>
      <c r="B148" s="37"/>
      <c r="C148" s="38"/>
      <c r="D148" s="37"/>
      <c r="E148" s="37"/>
      <c r="F148" s="38"/>
      <c r="G148" s="37"/>
      <c r="H148" s="38"/>
      <c r="I148" s="38"/>
      <c r="J148" s="38"/>
      <c r="K148" s="38"/>
      <c r="L148" s="38"/>
      <c r="M148" s="37"/>
      <c r="N148" s="38"/>
    </row>
    <row r="149" spans="1:14" ht="15" x14ac:dyDescent="0.2">
      <c r="A149" s="30" t="s">
        <v>25</v>
      </c>
      <c r="B149" s="38"/>
      <c r="C149" s="38"/>
      <c r="D149" s="37"/>
      <c r="E149" s="37"/>
      <c r="F149" s="38"/>
      <c r="G149" s="37"/>
      <c r="H149" s="38"/>
      <c r="I149" s="38"/>
      <c r="J149" s="38"/>
      <c r="K149" s="38"/>
      <c r="L149" s="38"/>
      <c r="M149" s="37"/>
      <c r="N149" s="38"/>
    </row>
    <row r="150" spans="1:14" ht="15" x14ac:dyDescent="0.2">
      <c r="A150" s="30" t="s">
        <v>42</v>
      </c>
      <c r="B150" s="38"/>
      <c r="C150" s="38"/>
      <c r="D150" s="38"/>
      <c r="E150" s="38"/>
      <c r="F150" s="38"/>
      <c r="G150" s="38"/>
      <c r="H150" s="38"/>
      <c r="I150" s="38"/>
      <c r="J150" s="38"/>
      <c r="K150" s="38"/>
      <c r="L150" s="38"/>
      <c r="M150" s="38"/>
      <c r="N150" s="38"/>
    </row>
    <row r="151" spans="1:14" ht="15" x14ac:dyDescent="0.2">
      <c r="A151" s="25" t="s">
        <v>17</v>
      </c>
      <c r="B151" s="37"/>
      <c r="C151" s="38"/>
      <c r="D151" s="37"/>
      <c r="E151" s="37"/>
      <c r="F151" s="38"/>
      <c r="G151" s="37"/>
      <c r="H151" s="38"/>
      <c r="I151" s="38"/>
      <c r="J151" s="36"/>
      <c r="K151" s="36"/>
      <c r="L151" s="36"/>
      <c r="M151" s="37"/>
      <c r="N151" s="36"/>
    </row>
    <row r="152" spans="1:14" ht="15" x14ac:dyDescent="0.2">
      <c r="A152" s="30" t="s">
        <v>40</v>
      </c>
      <c r="B152" s="37"/>
      <c r="C152" s="38"/>
      <c r="D152" s="37"/>
      <c r="E152" s="37"/>
      <c r="F152" s="38"/>
      <c r="G152" s="37"/>
      <c r="H152" s="38"/>
      <c r="I152" s="38"/>
      <c r="J152" s="38"/>
      <c r="K152" s="38"/>
      <c r="L152" s="38"/>
      <c r="M152" s="37"/>
      <c r="N152" s="38"/>
    </row>
    <row r="153" spans="1:14" ht="15" x14ac:dyDescent="0.2">
      <c r="A153" s="30" t="s">
        <v>41</v>
      </c>
      <c r="B153" s="37"/>
      <c r="C153" s="38"/>
      <c r="D153" s="37"/>
      <c r="E153" s="37"/>
      <c r="F153" s="38"/>
      <c r="G153" s="37"/>
      <c r="H153" s="38"/>
      <c r="I153" s="38"/>
      <c r="J153" s="38"/>
      <c r="K153" s="38"/>
      <c r="L153" s="38"/>
      <c r="M153" s="37"/>
      <c r="N153" s="38"/>
    </row>
    <row r="154" spans="1:14" ht="15" x14ac:dyDescent="0.2">
      <c r="A154" s="30" t="s">
        <v>25</v>
      </c>
      <c r="B154" s="38"/>
      <c r="C154" s="38"/>
      <c r="D154" s="37"/>
      <c r="E154" s="37"/>
      <c r="F154" s="38"/>
      <c r="G154" s="37"/>
      <c r="H154" s="38"/>
      <c r="I154" s="38"/>
      <c r="J154" s="38"/>
      <c r="K154" s="38"/>
      <c r="L154" s="38"/>
      <c r="M154" s="37"/>
      <c r="N154" s="38"/>
    </row>
    <row r="155" spans="1:14" ht="15" x14ac:dyDescent="0.2">
      <c r="A155" s="30" t="s">
        <v>42</v>
      </c>
      <c r="B155" s="38"/>
      <c r="C155" s="38"/>
      <c r="D155" s="37"/>
      <c r="E155" s="37"/>
      <c r="F155" s="38"/>
      <c r="G155" s="37"/>
      <c r="H155" s="38"/>
      <c r="I155" s="38"/>
      <c r="J155" s="38"/>
      <c r="K155" s="38"/>
      <c r="L155" s="38"/>
      <c r="M155" s="37"/>
      <c r="N155" s="38"/>
    </row>
    <row r="156" spans="1:14" ht="15" x14ac:dyDescent="0.2">
      <c r="A156" s="25" t="s">
        <v>17</v>
      </c>
      <c r="B156" s="37"/>
      <c r="C156" s="38"/>
      <c r="D156" s="37"/>
      <c r="E156" s="37"/>
      <c r="F156" s="38"/>
      <c r="G156" s="37"/>
      <c r="H156" s="38"/>
      <c r="I156" s="38"/>
      <c r="J156" s="36"/>
      <c r="K156" s="36"/>
      <c r="L156" s="36"/>
      <c r="M156" s="37"/>
      <c r="N156" s="36"/>
    </row>
    <row r="157" spans="1:14" ht="15" x14ac:dyDescent="0.2">
      <c r="A157" s="30" t="s">
        <v>40</v>
      </c>
      <c r="B157" s="37"/>
      <c r="C157" s="38"/>
      <c r="D157" s="37"/>
      <c r="E157" s="37"/>
      <c r="F157" s="38"/>
      <c r="G157" s="37"/>
      <c r="H157" s="38"/>
      <c r="I157" s="38"/>
      <c r="J157" s="38"/>
      <c r="K157" s="38"/>
      <c r="L157" s="38"/>
      <c r="M157" s="37"/>
      <c r="N157" s="38"/>
    </row>
    <row r="158" spans="1:14" ht="15" x14ac:dyDescent="0.2">
      <c r="A158" s="30" t="s">
        <v>41</v>
      </c>
      <c r="B158" s="37"/>
      <c r="C158" s="38"/>
      <c r="D158" s="37"/>
      <c r="E158" s="37"/>
      <c r="F158" s="38"/>
      <c r="G158" s="37"/>
      <c r="H158" s="38"/>
      <c r="I158" s="38"/>
      <c r="J158" s="38"/>
      <c r="K158" s="38"/>
      <c r="L158" s="38"/>
      <c r="M158" s="37"/>
      <c r="N158" s="38"/>
    </row>
    <row r="159" spans="1:14" ht="15" x14ac:dyDescent="0.2">
      <c r="A159" s="30" t="s">
        <v>25</v>
      </c>
      <c r="B159" s="38"/>
      <c r="C159" s="38"/>
      <c r="D159" s="37"/>
      <c r="E159" s="37"/>
      <c r="F159" s="38"/>
      <c r="G159" s="37"/>
      <c r="H159" s="38"/>
      <c r="I159" s="38"/>
      <c r="J159" s="38"/>
      <c r="K159" s="38"/>
      <c r="L159" s="38"/>
      <c r="M159" s="37"/>
      <c r="N159" s="38"/>
    </row>
    <row r="160" spans="1:14" ht="15" x14ac:dyDescent="0.2">
      <c r="A160" s="30" t="s">
        <v>42</v>
      </c>
      <c r="B160" s="38"/>
      <c r="C160" s="38"/>
      <c r="D160" s="38"/>
      <c r="E160" s="38"/>
      <c r="F160" s="38"/>
      <c r="G160" s="38"/>
      <c r="H160" s="38"/>
      <c r="I160" s="38"/>
      <c r="J160" s="38"/>
      <c r="K160" s="38"/>
      <c r="L160" s="38"/>
      <c r="M160" s="38"/>
      <c r="N160" s="38"/>
    </row>
    <row r="161" spans="1:14" ht="15" x14ac:dyDescent="0.2">
      <c r="A161" s="25" t="s">
        <v>17</v>
      </c>
      <c r="B161" s="37"/>
      <c r="C161" s="38"/>
      <c r="D161" s="37"/>
      <c r="E161" s="37"/>
      <c r="F161" s="38"/>
      <c r="G161" s="37"/>
      <c r="H161" s="38"/>
      <c r="I161" s="38"/>
      <c r="J161" s="36"/>
      <c r="K161" s="36"/>
      <c r="L161" s="36"/>
      <c r="M161" s="37"/>
      <c r="N161" s="36"/>
    </row>
    <row r="162" spans="1:14" ht="15" x14ac:dyDescent="0.2">
      <c r="A162" s="30" t="s">
        <v>40</v>
      </c>
      <c r="B162" s="37"/>
      <c r="C162" s="38"/>
      <c r="D162" s="37"/>
      <c r="E162" s="37"/>
      <c r="F162" s="38"/>
      <c r="G162" s="37"/>
      <c r="H162" s="38"/>
      <c r="I162" s="38"/>
      <c r="J162" s="38"/>
      <c r="K162" s="38"/>
      <c r="L162" s="38"/>
      <c r="M162" s="37"/>
      <c r="N162" s="38"/>
    </row>
    <row r="163" spans="1:14" ht="15" x14ac:dyDescent="0.2">
      <c r="A163" s="30" t="s">
        <v>41</v>
      </c>
      <c r="B163" s="37"/>
      <c r="C163" s="38"/>
      <c r="D163" s="38"/>
      <c r="E163" s="38"/>
      <c r="F163" s="38"/>
      <c r="G163" s="38"/>
      <c r="H163" s="38"/>
      <c r="I163" s="38"/>
      <c r="J163" s="38"/>
      <c r="K163" s="38"/>
      <c r="L163" s="38"/>
      <c r="M163" s="38"/>
      <c r="N163" s="38"/>
    </row>
    <row r="164" spans="1:14" ht="15" x14ac:dyDescent="0.2">
      <c r="A164" s="30" t="s">
        <v>25</v>
      </c>
      <c r="B164" s="38"/>
      <c r="C164" s="38"/>
      <c r="D164" s="38"/>
      <c r="E164" s="38"/>
      <c r="F164" s="38"/>
      <c r="G164" s="38"/>
      <c r="H164" s="38"/>
      <c r="I164" s="38"/>
      <c r="J164" s="38"/>
      <c r="K164" s="38"/>
      <c r="L164" s="38"/>
      <c r="M164" s="38"/>
      <c r="N164" s="38"/>
    </row>
    <row r="165" spans="1:14" ht="15" x14ac:dyDescent="0.2">
      <c r="A165" s="30" t="s">
        <v>42</v>
      </c>
      <c r="B165" s="38"/>
      <c r="C165" s="38"/>
      <c r="D165" s="38"/>
      <c r="E165" s="38"/>
      <c r="F165" s="38"/>
      <c r="G165" s="38"/>
      <c r="H165" s="38"/>
      <c r="I165" s="38"/>
      <c r="J165" s="38"/>
      <c r="K165" s="38"/>
      <c r="L165" s="38"/>
      <c r="M165" s="38"/>
      <c r="N165" s="38"/>
    </row>
    <row r="166" spans="1:14" ht="15" x14ac:dyDescent="0.2">
      <c r="A166" s="25" t="s">
        <v>17</v>
      </c>
      <c r="B166" s="37"/>
      <c r="C166" s="38"/>
      <c r="D166" s="38"/>
      <c r="E166" s="38"/>
      <c r="F166" s="38"/>
      <c r="G166" s="38"/>
      <c r="H166" s="38"/>
      <c r="I166" s="38"/>
      <c r="J166" s="36"/>
      <c r="K166" s="38"/>
      <c r="L166" s="38"/>
      <c r="M166" s="38"/>
      <c r="N166" s="36"/>
    </row>
    <row r="167" spans="1:14" ht="15" x14ac:dyDescent="0.2">
      <c r="A167" s="30" t="s">
        <v>40</v>
      </c>
      <c r="B167" s="37"/>
      <c r="C167" s="38"/>
      <c r="D167" s="38"/>
      <c r="E167" s="38"/>
      <c r="F167" s="38"/>
      <c r="G167" s="38"/>
      <c r="H167" s="38"/>
      <c r="I167" s="38"/>
      <c r="J167" s="38"/>
      <c r="K167" s="38"/>
      <c r="L167" s="38"/>
      <c r="M167" s="38"/>
      <c r="N167" s="38"/>
    </row>
    <row r="168" spans="1:14" ht="15" x14ac:dyDescent="0.2">
      <c r="A168" s="30" t="s">
        <v>41</v>
      </c>
      <c r="B168" s="37"/>
      <c r="C168" s="38"/>
      <c r="D168" s="38"/>
      <c r="E168" s="38"/>
      <c r="F168" s="38"/>
      <c r="G168" s="38"/>
      <c r="H168" s="38"/>
      <c r="I168" s="38"/>
      <c r="J168" s="38"/>
      <c r="K168" s="38"/>
      <c r="L168" s="38"/>
      <c r="M168" s="38"/>
      <c r="N168" s="38"/>
    </row>
    <row r="169" spans="1:14" ht="15" x14ac:dyDescent="0.2">
      <c r="A169" s="30" t="s">
        <v>25</v>
      </c>
      <c r="B169" s="38"/>
      <c r="C169" s="38"/>
      <c r="D169" s="38"/>
      <c r="E169" s="38"/>
      <c r="F169" s="38"/>
      <c r="G169" s="38"/>
      <c r="H169" s="38"/>
      <c r="I169" s="38"/>
      <c r="J169" s="38"/>
      <c r="K169" s="38"/>
      <c r="L169" s="38"/>
      <c r="M169" s="38"/>
      <c r="N169" s="38"/>
    </row>
    <row r="170" spans="1:14" ht="15" x14ac:dyDescent="0.2">
      <c r="A170" s="30" t="s">
        <v>42</v>
      </c>
      <c r="B170" s="38"/>
      <c r="C170" s="38"/>
      <c r="D170" s="38"/>
      <c r="E170" s="38"/>
      <c r="F170" s="38"/>
      <c r="G170" s="38"/>
      <c r="H170" s="38"/>
      <c r="I170" s="38"/>
      <c r="J170" s="38"/>
      <c r="K170" s="38"/>
      <c r="L170" s="38"/>
      <c r="M170" s="38"/>
      <c r="N170" s="38"/>
    </row>
    <row r="171" spans="1:14" ht="15" x14ac:dyDescent="0.2">
      <c r="A171" s="25" t="s">
        <v>17</v>
      </c>
      <c r="B171" s="37"/>
      <c r="C171" s="38"/>
      <c r="D171" s="38"/>
      <c r="E171" s="38"/>
      <c r="F171" s="38"/>
      <c r="G171" s="38"/>
      <c r="H171" s="38"/>
      <c r="I171" s="38"/>
      <c r="J171" s="36"/>
      <c r="K171" s="36"/>
      <c r="L171" s="36"/>
      <c r="M171" s="38"/>
      <c r="N171" s="36"/>
    </row>
    <row r="172" spans="1:14" ht="15" x14ac:dyDescent="0.2">
      <c r="A172" s="30" t="s">
        <v>40</v>
      </c>
      <c r="B172" s="37"/>
      <c r="C172" s="38"/>
      <c r="D172" s="38"/>
      <c r="E172" s="38"/>
      <c r="F172" s="38"/>
      <c r="G172" s="38"/>
      <c r="H172" s="38"/>
      <c r="I172" s="38"/>
      <c r="J172" s="38"/>
      <c r="K172" s="38"/>
      <c r="L172" s="38"/>
      <c r="M172" s="38"/>
      <c r="N172" s="38"/>
    </row>
    <row r="173" spans="1:14" ht="15" x14ac:dyDescent="0.2">
      <c r="A173" s="30" t="s">
        <v>41</v>
      </c>
      <c r="B173" s="37"/>
      <c r="C173" s="38"/>
      <c r="D173" s="38"/>
      <c r="E173" s="38"/>
      <c r="F173" s="38"/>
      <c r="G173" s="38"/>
      <c r="H173" s="38"/>
      <c r="I173" s="38"/>
      <c r="J173" s="38"/>
      <c r="K173" s="38"/>
      <c r="L173" s="38"/>
      <c r="M173" s="38"/>
      <c r="N173" s="38"/>
    </row>
    <row r="174" spans="1:14" ht="15" x14ac:dyDescent="0.2">
      <c r="A174" s="30" t="s">
        <v>25</v>
      </c>
      <c r="B174" s="38"/>
      <c r="C174" s="38"/>
      <c r="D174" s="38"/>
      <c r="E174" s="38"/>
      <c r="F174" s="38"/>
      <c r="G174" s="38"/>
      <c r="H174" s="38"/>
      <c r="I174" s="38"/>
      <c r="J174" s="38"/>
      <c r="K174" s="38"/>
      <c r="L174" s="38"/>
      <c r="M174" s="38"/>
      <c r="N174" s="38"/>
    </row>
    <row r="175" spans="1:14" ht="15" x14ac:dyDescent="0.2">
      <c r="A175" s="30" t="s">
        <v>42</v>
      </c>
      <c r="B175" s="38"/>
      <c r="C175" s="38"/>
      <c r="D175" s="38"/>
      <c r="E175" s="38"/>
      <c r="F175" s="38"/>
      <c r="G175" s="38"/>
      <c r="H175" s="38"/>
      <c r="I175" s="38"/>
      <c r="J175" s="38"/>
      <c r="K175" s="38"/>
      <c r="L175" s="38"/>
      <c r="M175" s="38"/>
      <c r="N175" s="38"/>
    </row>
    <row r="176" spans="1:14" ht="15" x14ac:dyDescent="0.2">
      <c r="A176" s="25" t="s">
        <v>17</v>
      </c>
      <c r="B176" s="37"/>
      <c r="C176" s="38"/>
      <c r="D176" s="38"/>
      <c r="E176" s="38"/>
      <c r="F176" s="38"/>
      <c r="G176" s="38"/>
      <c r="H176" s="38"/>
      <c r="I176" s="38"/>
      <c r="J176" s="36"/>
      <c r="K176" s="36"/>
      <c r="L176" s="36"/>
      <c r="M176" s="38"/>
      <c r="N176" s="36"/>
    </row>
    <row r="177" spans="1:14" ht="15" x14ac:dyDescent="0.2">
      <c r="A177" s="30" t="s">
        <v>40</v>
      </c>
      <c r="B177" s="37"/>
      <c r="C177" s="38"/>
      <c r="D177" s="38"/>
      <c r="E177" s="38"/>
      <c r="F177" s="38"/>
      <c r="G177" s="38"/>
      <c r="H177" s="38"/>
      <c r="I177" s="38"/>
      <c r="J177" s="38"/>
      <c r="K177" s="38"/>
      <c r="L177" s="38"/>
      <c r="M177" s="38"/>
      <c r="N177" s="38"/>
    </row>
    <row r="178" spans="1:14" ht="15" x14ac:dyDescent="0.2">
      <c r="A178" s="30" t="s">
        <v>41</v>
      </c>
      <c r="B178" s="37"/>
      <c r="C178" s="38"/>
      <c r="D178" s="38"/>
      <c r="E178" s="38"/>
      <c r="F178" s="38"/>
      <c r="G178" s="38"/>
      <c r="H178" s="38"/>
      <c r="I178" s="38"/>
      <c r="J178" s="38"/>
      <c r="K178" s="38"/>
      <c r="L178" s="38"/>
      <c r="M178" s="38"/>
      <c r="N178" s="38"/>
    </row>
    <row r="179" spans="1:14" ht="15" x14ac:dyDescent="0.2">
      <c r="A179" s="30" t="s">
        <v>25</v>
      </c>
      <c r="B179" s="38"/>
      <c r="C179" s="38"/>
      <c r="D179" s="38"/>
      <c r="E179" s="38"/>
      <c r="F179" s="38"/>
      <c r="G179" s="38"/>
      <c r="H179" s="38"/>
      <c r="I179" s="38"/>
      <c r="J179" s="38"/>
      <c r="K179" s="38"/>
      <c r="L179" s="38"/>
      <c r="M179" s="38"/>
      <c r="N179" s="38"/>
    </row>
    <row r="180" spans="1:14" ht="15" x14ac:dyDescent="0.2">
      <c r="A180" s="30" t="s">
        <v>42</v>
      </c>
      <c r="B180" s="38"/>
      <c r="C180" s="38"/>
      <c r="D180" s="38"/>
      <c r="E180" s="38"/>
      <c r="F180" s="38"/>
      <c r="G180" s="38"/>
      <c r="H180" s="38"/>
      <c r="I180" s="38"/>
      <c r="J180" s="38"/>
      <c r="K180" s="38"/>
      <c r="L180" s="38"/>
      <c r="M180" s="38"/>
      <c r="N180" s="38"/>
    </row>
    <row r="181" spans="1:14" ht="15" x14ac:dyDescent="0.2">
      <c r="A181" s="25" t="s">
        <v>17</v>
      </c>
      <c r="B181" s="37"/>
      <c r="C181" s="38"/>
      <c r="D181" s="38"/>
      <c r="E181" s="38"/>
      <c r="F181" s="38"/>
      <c r="G181" s="38"/>
      <c r="H181" s="38"/>
      <c r="I181" s="38"/>
      <c r="J181" s="263"/>
      <c r="K181" s="36"/>
      <c r="L181" s="36"/>
      <c r="M181" s="38"/>
      <c r="N181" s="36"/>
    </row>
    <row r="182" spans="1:14" ht="15" x14ac:dyDescent="0.2">
      <c r="A182" s="30" t="s">
        <v>40</v>
      </c>
      <c r="B182" s="37"/>
      <c r="C182" s="38"/>
      <c r="D182" s="38"/>
      <c r="E182" s="38"/>
      <c r="F182" s="38"/>
      <c r="G182" s="38"/>
      <c r="H182" s="38"/>
      <c r="I182" s="38"/>
      <c r="J182" s="36"/>
      <c r="K182" s="38"/>
      <c r="L182" s="38"/>
      <c r="M182" s="38"/>
      <c r="N182" s="38"/>
    </row>
    <row r="183" spans="1:14" ht="15" x14ac:dyDescent="0.2">
      <c r="A183" s="30" t="s">
        <v>41</v>
      </c>
      <c r="B183" s="37"/>
      <c r="C183" s="38"/>
      <c r="D183" s="38"/>
      <c r="E183" s="38"/>
      <c r="F183" s="38"/>
      <c r="G183" s="38"/>
      <c r="H183" s="38"/>
      <c r="I183" s="38"/>
      <c r="J183" s="38"/>
      <c r="K183" s="38"/>
      <c r="L183" s="38"/>
      <c r="M183" s="38"/>
      <c r="N183" s="38"/>
    </row>
    <row r="184" spans="1:14" ht="15" x14ac:dyDescent="0.2">
      <c r="A184" s="30" t="s">
        <v>25</v>
      </c>
      <c r="B184" s="38"/>
      <c r="C184" s="38"/>
      <c r="D184" s="38"/>
      <c r="E184" s="38"/>
      <c r="F184" s="38"/>
      <c r="G184" s="38"/>
      <c r="H184" s="38"/>
      <c r="I184" s="38"/>
      <c r="J184" s="38"/>
      <c r="K184" s="38"/>
      <c r="L184" s="38"/>
      <c r="M184" s="38"/>
      <c r="N184" s="38"/>
    </row>
    <row r="185" spans="1:14" ht="15" x14ac:dyDescent="0.2">
      <c r="A185" s="30" t="s">
        <v>42</v>
      </c>
      <c r="B185" s="38"/>
      <c r="C185" s="38"/>
      <c r="D185" s="38"/>
      <c r="E185" s="38"/>
      <c r="F185" s="38"/>
      <c r="G185" s="38"/>
      <c r="H185" s="38"/>
      <c r="I185" s="38"/>
      <c r="J185" s="38"/>
      <c r="K185" s="38"/>
      <c r="L185" s="38"/>
      <c r="M185" s="38"/>
      <c r="N185" s="38"/>
    </row>
    <row r="186" spans="1:14" ht="15" x14ac:dyDescent="0.2">
      <c r="A186" s="25" t="s">
        <v>17</v>
      </c>
      <c r="B186" s="37"/>
      <c r="C186" s="38"/>
      <c r="D186" s="38"/>
      <c r="E186" s="38"/>
      <c r="F186" s="38"/>
      <c r="G186" s="38"/>
      <c r="H186" s="38"/>
      <c r="I186" s="38"/>
      <c r="J186" s="38"/>
      <c r="K186" s="38"/>
      <c r="L186" s="38"/>
      <c r="M186" s="38"/>
      <c r="N186" s="36"/>
    </row>
    <row r="187" spans="1:14" ht="15" x14ac:dyDescent="0.2">
      <c r="A187" s="30" t="s">
        <v>40</v>
      </c>
      <c r="B187" s="37"/>
      <c r="C187" s="38"/>
      <c r="D187" s="38"/>
      <c r="E187" s="38"/>
      <c r="F187" s="38"/>
      <c r="G187" s="38"/>
      <c r="H187" s="38"/>
      <c r="I187" s="38"/>
      <c r="J187" s="263"/>
      <c r="K187" s="38"/>
      <c r="L187" s="38"/>
      <c r="M187" s="38"/>
      <c r="N187" s="38"/>
    </row>
    <row r="188" spans="1:14" ht="15" x14ac:dyDescent="0.2">
      <c r="A188" s="30" t="s">
        <v>41</v>
      </c>
      <c r="B188" s="37"/>
      <c r="C188" s="38"/>
      <c r="D188" s="37"/>
      <c r="E188" s="37"/>
      <c r="F188" s="38"/>
      <c r="G188" s="37"/>
      <c r="H188" s="38"/>
      <c r="I188" s="38"/>
      <c r="J188" s="36"/>
      <c r="K188" s="38"/>
      <c r="L188" s="38"/>
      <c r="M188" s="37"/>
      <c r="N188" s="38"/>
    </row>
    <row r="189" spans="1:14" ht="15" x14ac:dyDescent="0.2">
      <c r="A189" s="30" t="s">
        <v>25</v>
      </c>
      <c r="B189" s="38"/>
      <c r="C189" s="38"/>
      <c r="D189" s="37"/>
      <c r="E189" s="37"/>
      <c r="F189" s="38"/>
      <c r="G189" s="37"/>
      <c r="H189" s="38"/>
      <c r="I189" s="38"/>
      <c r="J189" s="38"/>
      <c r="K189" s="38"/>
      <c r="L189" s="38"/>
      <c r="M189" s="37"/>
      <c r="N189" s="38"/>
    </row>
    <row r="190" spans="1:14" ht="15" x14ac:dyDescent="0.2">
      <c r="A190" s="30" t="s">
        <v>42</v>
      </c>
      <c r="B190" s="38"/>
      <c r="C190" s="38"/>
      <c r="D190" s="37"/>
      <c r="E190" s="37"/>
      <c r="F190" s="38"/>
      <c r="G190" s="37"/>
      <c r="H190" s="38"/>
      <c r="I190" s="38"/>
      <c r="J190" s="38"/>
      <c r="K190" s="38"/>
      <c r="L190" s="38"/>
      <c r="M190" s="37"/>
      <c r="N190" s="38"/>
    </row>
    <row r="191" spans="1:14" ht="15" x14ac:dyDescent="0.2">
      <c r="A191" s="25" t="s">
        <v>17</v>
      </c>
      <c r="B191" s="37"/>
      <c r="C191" s="38"/>
      <c r="D191" s="37"/>
      <c r="E191" s="37"/>
      <c r="F191" s="38"/>
      <c r="G191" s="37"/>
      <c r="H191" s="38"/>
      <c r="I191" s="38"/>
      <c r="J191" s="38"/>
      <c r="K191" s="38"/>
      <c r="L191" s="38"/>
      <c r="M191" s="37"/>
      <c r="N191" s="36"/>
    </row>
    <row r="192" spans="1:14" ht="15" x14ac:dyDescent="0.2">
      <c r="A192" s="30" t="s">
        <v>40</v>
      </c>
      <c r="B192" s="37"/>
      <c r="C192" s="38"/>
      <c r="D192" s="37"/>
      <c r="E192" s="37"/>
      <c r="F192" s="38"/>
      <c r="G192" s="37"/>
      <c r="H192" s="38"/>
      <c r="I192" s="38"/>
      <c r="J192" s="38"/>
      <c r="K192" s="38"/>
      <c r="L192" s="38"/>
      <c r="M192" s="37"/>
      <c r="N192" s="38"/>
    </row>
    <row r="193" spans="1:14" ht="15" x14ac:dyDescent="0.2">
      <c r="A193" s="30" t="s">
        <v>41</v>
      </c>
      <c r="B193" s="37"/>
      <c r="C193" s="38"/>
      <c r="D193" s="37"/>
      <c r="E193" s="37"/>
      <c r="F193" s="38"/>
      <c r="G193" s="37"/>
      <c r="H193" s="38"/>
      <c r="I193" s="38"/>
      <c r="J193" s="38"/>
      <c r="K193" s="38"/>
      <c r="L193" s="38"/>
      <c r="M193" s="37"/>
      <c r="N193" s="38"/>
    </row>
    <row r="194" spans="1:14" ht="15" x14ac:dyDescent="0.2">
      <c r="A194" s="30" t="s">
        <v>25</v>
      </c>
      <c r="B194" s="38"/>
      <c r="C194" s="38"/>
      <c r="D194" s="37"/>
      <c r="E194" s="37"/>
      <c r="F194" s="38"/>
      <c r="G194" s="37"/>
      <c r="H194" s="38"/>
      <c r="I194" s="38"/>
      <c r="J194" s="38"/>
      <c r="K194" s="38"/>
      <c r="L194" s="38"/>
      <c r="M194" s="37"/>
      <c r="N194" s="38"/>
    </row>
    <row r="195" spans="1:14" ht="15" x14ac:dyDescent="0.2">
      <c r="A195" s="30" t="s">
        <v>42</v>
      </c>
      <c r="B195" s="38"/>
      <c r="C195" s="38"/>
      <c r="D195" s="37"/>
      <c r="E195" s="37"/>
      <c r="F195" s="38"/>
      <c r="G195" s="37"/>
      <c r="H195" s="38"/>
      <c r="I195" s="38"/>
      <c r="J195" s="38"/>
      <c r="K195" s="38"/>
      <c r="L195" s="38"/>
      <c r="M195" s="37"/>
      <c r="N195" s="38"/>
    </row>
    <row r="196" spans="1:14" ht="18" customHeight="1" x14ac:dyDescent="0.2">
      <c r="A196" s="25" t="s">
        <v>17</v>
      </c>
      <c r="B196" s="37"/>
      <c r="C196" s="38"/>
      <c r="D196" s="37"/>
      <c r="E196" s="37"/>
      <c r="F196" s="38"/>
      <c r="G196" s="37"/>
      <c r="H196" s="38"/>
      <c r="I196" s="38"/>
      <c r="J196" s="38"/>
      <c r="K196" s="38"/>
      <c r="L196" s="38"/>
      <c r="M196" s="37"/>
      <c r="N196" s="36"/>
    </row>
    <row r="197" spans="1:14" ht="15" x14ac:dyDescent="0.2">
      <c r="A197" s="30" t="s">
        <v>40</v>
      </c>
      <c r="B197" s="37"/>
      <c r="C197" s="38"/>
      <c r="D197" s="37"/>
      <c r="E197" s="37"/>
      <c r="F197" s="38"/>
      <c r="G197" s="37"/>
      <c r="H197" s="38"/>
      <c r="I197" s="38"/>
      <c r="J197" s="38"/>
      <c r="K197" s="38"/>
      <c r="L197" s="38"/>
      <c r="M197" s="37"/>
      <c r="N197" s="38"/>
    </row>
    <row r="198" spans="1:14" ht="15" x14ac:dyDescent="0.2">
      <c r="A198" s="30" t="s">
        <v>41</v>
      </c>
      <c r="B198" s="37"/>
      <c r="C198" s="38"/>
      <c r="D198" s="37"/>
      <c r="E198" s="37"/>
      <c r="F198" s="38"/>
      <c r="G198" s="37"/>
      <c r="H198" s="38"/>
      <c r="I198" s="38"/>
      <c r="J198" s="38"/>
      <c r="K198" s="38"/>
      <c r="L198" s="38"/>
      <c r="M198" s="37"/>
      <c r="N198" s="38"/>
    </row>
    <row r="199" spans="1:14" ht="15" x14ac:dyDescent="0.2">
      <c r="A199" s="30" t="s">
        <v>25</v>
      </c>
      <c r="B199" s="38"/>
      <c r="C199" s="38"/>
      <c r="D199" s="37"/>
      <c r="E199" s="37"/>
      <c r="F199" s="38"/>
      <c r="G199" s="37"/>
      <c r="H199" s="38"/>
      <c r="I199" s="38"/>
      <c r="J199" s="38"/>
      <c r="K199" s="38"/>
      <c r="L199" s="38"/>
      <c r="M199" s="37"/>
      <c r="N199" s="38"/>
    </row>
    <row r="200" spans="1:14" ht="15" x14ac:dyDescent="0.2">
      <c r="A200" s="30" t="s">
        <v>42</v>
      </c>
      <c r="B200" s="38"/>
      <c r="C200" s="38"/>
      <c r="D200" s="37"/>
      <c r="E200" s="37"/>
      <c r="F200" s="38"/>
      <c r="G200" s="37"/>
      <c r="H200" s="38"/>
      <c r="I200" s="38"/>
      <c r="J200" s="38"/>
      <c r="K200" s="38"/>
      <c r="L200" s="38"/>
      <c r="M200" s="37"/>
      <c r="N200" s="38"/>
    </row>
    <row r="201" spans="1:14" ht="18" customHeight="1" x14ac:dyDescent="0.2">
      <c r="A201" s="25" t="s">
        <v>17</v>
      </c>
      <c r="B201" s="37"/>
      <c r="C201" s="38"/>
      <c r="D201" s="37"/>
      <c r="E201" s="37"/>
      <c r="F201" s="38"/>
      <c r="G201" s="37"/>
      <c r="H201" s="38"/>
      <c r="I201" s="38"/>
      <c r="J201" s="38"/>
      <c r="K201" s="38"/>
      <c r="L201" s="38"/>
      <c r="M201" s="37"/>
      <c r="N201" s="36"/>
    </row>
    <row r="202" spans="1:14" ht="15" x14ac:dyDescent="0.2">
      <c r="A202" s="30" t="s">
        <v>40</v>
      </c>
      <c r="B202" s="37"/>
      <c r="C202" s="38"/>
      <c r="D202" s="37"/>
      <c r="E202" s="37"/>
      <c r="F202" s="38"/>
      <c r="G202" s="37"/>
      <c r="H202" s="38"/>
      <c r="I202" s="38"/>
      <c r="J202" s="38"/>
      <c r="K202" s="38"/>
      <c r="L202" s="38"/>
      <c r="M202" s="37"/>
      <c r="N202" s="38"/>
    </row>
    <row r="203" spans="1:14" ht="15" x14ac:dyDescent="0.2">
      <c r="A203" s="30" t="s">
        <v>41</v>
      </c>
      <c r="B203" s="37"/>
      <c r="C203" s="38"/>
      <c r="D203" s="37"/>
      <c r="E203" s="37"/>
      <c r="F203" s="38"/>
      <c r="G203" s="37"/>
      <c r="H203" s="38"/>
      <c r="I203" s="38"/>
      <c r="J203" s="38"/>
      <c r="K203" s="38"/>
      <c r="L203" s="38"/>
      <c r="M203" s="37"/>
      <c r="N203" s="38"/>
    </row>
    <row r="204" spans="1:14" ht="15" x14ac:dyDescent="0.2">
      <c r="A204" s="30" t="s">
        <v>25</v>
      </c>
      <c r="B204" s="38"/>
      <c r="C204" s="38"/>
      <c r="D204" s="37"/>
      <c r="E204" s="37"/>
      <c r="F204" s="38"/>
      <c r="G204" s="37"/>
      <c r="H204" s="38"/>
      <c r="I204" s="38"/>
      <c r="J204" s="38"/>
      <c r="K204" s="38"/>
      <c r="L204" s="38"/>
      <c r="M204" s="37"/>
      <c r="N204" s="38"/>
    </row>
    <row r="205" spans="1:14" ht="15" x14ac:dyDescent="0.2">
      <c r="A205" s="30" t="s">
        <v>42</v>
      </c>
      <c r="B205" s="38"/>
      <c r="C205" s="38"/>
      <c r="D205" s="37"/>
      <c r="E205" s="37"/>
      <c r="F205" s="38"/>
      <c r="G205" s="37"/>
      <c r="H205" s="38"/>
      <c r="I205" s="38"/>
      <c r="J205" s="38"/>
      <c r="K205" s="38"/>
      <c r="L205" s="38"/>
      <c r="M205" s="37"/>
      <c r="N205" s="38"/>
    </row>
    <row r="206" spans="1:14" ht="18" customHeight="1" x14ac:dyDescent="0.2">
      <c r="A206" s="25" t="s">
        <v>17</v>
      </c>
      <c r="B206" s="37"/>
      <c r="C206" s="38"/>
      <c r="D206" s="37"/>
      <c r="E206" s="37"/>
      <c r="F206" s="38"/>
      <c r="G206" s="37"/>
      <c r="H206" s="38"/>
      <c r="I206" s="38"/>
      <c r="J206" s="38"/>
      <c r="K206" s="36"/>
      <c r="L206" s="36"/>
      <c r="M206" s="37"/>
      <c r="N206" s="36"/>
    </row>
    <row r="207" spans="1:14" ht="15" x14ac:dyDescent="0.2">
      <c r="A207" s="30" t="s">
        <v>40</v>
      </c>
      <c r="B207" s="37"/>
      <c r="C207" s="38"/>
      <c r="D207" s="37"/>
      <c r="E207" s="37"/>
      <c r="F207" s="38"/>
      <c r="G207" s="37"/>
      <c r="H207" s="38"/>
      <c r="I207" s="38"/>
      <c r="J207" s="38"/>
      <c r="K207" s="38"/>
      <c r="L207" s="38"/>
      <c r="M207" s="37"/>
      <c r="N207" s="38"/>
    </row>
    <row r="208" spans="1:14" ht="15" x14ac:dyDescent="0.2">
      <c r="A208" s="30" t="s">
        <v>41</v>
      </c>
      <c r="B208" s="37"/>
      <c r="C208" s="38"/>
      <c r="D208" s="37"/>
      <c r="E208" s="37"/>
      <c r="F208" s="38"/>
      <c r="G208" s="37"/>
      <c r="H208" s="38"/>
      <c r="I208" s="38"/>
      <c r="J208" s="38"/>
      <c r="K208" s="38"/>
      <c r="L208" s="38"/>
      <c r="M208" s="37"/>
      <c r="N208" s="38"/>
    </row>
    <row r="209" spans="1:14" ht="15" x14ac:dyDescent="0.2">
      <c r="A209" s="30" t="s">
        <v>25</v>
      </c>
      <c r="B209" s="38"/>
      <c r="C209" s="38"/>
      <c r="D209" s="37"/>
      <c r="E209" s="37"/>
      <c r="F209" s="38"/>
      <c r="G209" s="37"/>
      <c r="H209" s="38"/>
      <c r="I209" s="38"/>
      <c r="J209" s="38"/>
      <c r="K209" s="38"/>
      <c r="L209" s="38"/>
      <c r="M209" s="37"/>
      <c r="N209" s="38"/>
    </row>
    <row r="210" spans="1:14" ht="15" x14ac:dyDescent="0.2">
      <c r="A210" s="30" t="s">
        <v>42</v>
      </c>
      <c r="B210" s="38"/>
      <c r="C210" s="38"/>
      <c r="D210" s="37"/>
      <c r="E210" s="37"/>
      <c r="F210" s="38"/>
      <c r="G210" s="37"/>
      <c r="H210" s="38"/>
      <c r="I210" s="38"/>
      <c r="J210" s="38"/>
      <c r="K210" s="38"/>
      <c r="L210" s="38"/>
      <c r="M210" s="37"/>
      <c r="N210" s="38"/>
    </row>
    <row r="211" spans="1:14" ht="15" x14ac:dyDescent="0.2">
      <c r="A211" s="30" t="s">
        <v>42</v>
      </c>
      <c r="B211" s="38"/>
      <c r="C211" s="38"/>
      <c r="D211" s="37"/>
      <c r="E211" s="37"/>
      <c r="F211" s="38"/>
      <c r="G211" s="37"/>
      <c r="H211" s="38"/>
      <c r="I211" s="38"/>
      <c r="J211" s="38"/>
      <c r="K211" s="38"/>
      <c r="L211" s="38"/>
      <c r="M211" s="37"/>
      <c r="N211" s="38"/>
    </row>
    <row r="212" spans="1:14" ht="18" customHeight="1" x14ac:dyDescent="0.2">
      <c r="A212" s="25" t="s">
        <v>17</v>
      </c>
      <c r="B212" s="37"/>
      <c r="C212" s="38"/>
      <c r="D212" s="37"/>
      <c r="E212" s="37"/>
      <c r="F212" s="38"/>
      <c r="G212" s="37"/>
      <c r="H212" s="38"/>
      <c r="I212" s="38"/>
      <c r="J212" s="38"/>
      <c r="K212" s="36"/>
      <c r="L212" s="36"/>
      <c r="M212" s="37"/>
      <c r="N212" s="36"/>
    </row>
    <row r="213" spans="1:14" ht="15" x14ac:dyDescent="0.2">
      <c r="A213" s="30" t="s">
        <v>40</v>
      </c>
      <c r="B213" s="37"/>
      <c r="C213" s="38"/>
      <c r="D213" s="37"/>
      <c r="E213" s="37"/>
      <c r="F213" s="38"/>
      <c r="G213" s="37"/>
      <c r="H213" s="38"/>
      <c r="I213" s="38"/>
      <c r="J213" s="38"/>
      <c r="K213" s="38"/>
      <c r="L213" s="38"/>
      <c r="M213" s="37"/>
      <c r="N213" s="38"/>
    </row>
    <row r="214" spans="1:14" ht="15" x14ac:dyDescent="0.2">
      <c r="A214" s="30" t="s">
        <v>41</v>
      </c>
      <c r="B214" s="37"/>
      <c r="C214" s="38"/>
      <c r="D214" s="37"/>
      <c r="E214" s="37"/>
      <c r="F214" s="38"/>
      <c r="G214" s="37"/>
      <c r="H214" s="38"/>
      <c r="I214" s="38"/>
      <c r="J214" s="38"/>
      <c r="K214" s="38"/>
      <c r="L214" s="38"/>
      <c r="M214" s="37"/>
      <c r="N214" s="38"/>
    </row>
    <row r="215" spans="1:14" ht="15" x14ac:dyDescent="0.2">
      <c r="A215" s="30" t="s">
        <v>25</v>
      </c>
      <c r="B215" s="38"/>
      <c r="C215" s="38"/>
      <c r="D215" s="37"/>
      <c r="E215" s="37"/>
      <c r="F215" s="38"/>
      <c r="G215" s="37"/>
      <c r="H215" s="38"/>
      <c r="I215" s="38"/>
      <c r="J215" s="38"/>
      <c r="K215" s="38"/>
      <c r="L215" s="38"/>
      <c r="M215" s="37"/>
      <c r="N215" s="38"/>
    </row>
    <row r="216" spans="1:14" ht="15" x14ac:dyDescent="0.2">
      <c r="A216" s="30" t="s">
        <v>42</v>
      </c>
      <c r="B216" s="38"/>
      <c r="C216" s="38"/>
      <c r="D216" s="37"/>
      <c r="E216" s="37"/>
      <c r="F216" s="38"/>
      <c r="G216" s="37"/>
      <c r="H216" s="38"/>
      <c r="I216" s="38"/>
      <c r="J216" s="38"/>
      <c r="K216" s="38"/>
      <c r="L216" s="38"/>
      <c r="M216" s="37"/>
      <c r="N216" s="38"/>
    </row>
    <row r="217" spans="1:14" ht="15" x14ac:dyDescent="0.2">
      <c r="A217" s="30"/>
      <c r="B217" s="38"/>
      <c r="C217" s="38"/>
      <c r="D217" s="37"/>
      <c r="E217" s="37"/>
      <c r="F217" s="38"/>
      <c r="G217" s="37"/>
      <c r="H217" s="38"/>
      <c r="I217" s="38"/>
      <c r="J217" s="38"/>
      <c r="K217" s="38"/>
      <c r="L217" s="38"/>
      <c r="M217" s="37"/>
      <c r="N217" s="38"/>
    </row>
    <row r="218" spans="1:14" ht="15" x14ac:dyDescent="0.2">
      <c r="A218" s="30"/>
      <c r="B218" s="38"/>
      <c r="C218" s="38"/>
      <c r="D218" s="37"/>
      <c r="E218" s="37"/>
      <c r="F218" s="38"/>
      <c r="G218" s="37"/>
      <c r="H218" s="38"/>
      <c r="I218" s="38"/>
      <c r="J218" s="38"/>
      <c r="K218" s="38"/>
      <c r="L218" s="38"/>
      <c r="M218" s="37"/>
      <c r="N218" s="38"/>
    </row>
    <row r="219" spans="1:14" ht="15" x14ac:dyDescent="0.2">
      <c r="A219" s="30"/>
      <c r="B219" s="38"/>
      <c r="C219" s="38"/>
      <c r="D219" s="37"/>
      <c r="E219" s="37"/>
      <c r="F219" s="38"/>
      <c r="G219" s="37"/>
      <c r="H219" s="38"/>
      <c r="I219" s="38"/>
      <c r="J219" s="38"/>
      <c r="K219" s="38"/>
      <c r="L219" s="38"/>
      <c r="M219" s="37"/>
      <c r="N219" s="38"/>
    </row>
    <row r="220" spans="1:14" ht="15" x14ac:dyDescent="0.2">
      <c r="A220" s="30"/>
      <c r="B220" s="38"/>
      <c r="C220" s="38"/>
      <c r="D220" s="37"/>
      <c r="E220" s="37"/>
      <c r="F220" s="38"/>
      <c r="G220" s="37"/>
      <c r="H220" s="38"/>
      <c r="I220" s="38"/>
      <c r="J220" s="38"/>
      <c r="K220" s="38"/>
      <c r="L220" s="38"/>
      <c r="M220" s="37"/>
      <c r="N220" s="38"/>
    </row>
    <row r="221" spans="1:14" ht="15" x14ac:dyDescent="0.2">
      <c r="A221" s="30"/>
      <c r="B221" s="38"/>
      <c r="C221" s="38"/>
      <c r="D221" s="37"/>
      <c r="E221" s="37"/>
      <c r="F221" s="38"/>
      <c r="G221" s="37"/>
      <c r="H221" s="38"/>
      <c r="I221" s="38"/>
      <c r="J221" s="38"/>
      <c r="K221" s="38"/>
      <c r="L221" s="38"/>
      <c r="M221" s="37"/>
      <c r="N221" s="38"/>
    </row>
    <row r="222" spans="1:14" ht="15" x14ac:dyDescent="0.2">
      <c r="A222" s="30"/>
      <c r="B222" s="38"/>
      <c r="C222" s="38"/>
      <c r="D222" s="37"/>
      <c r="E222" s="37"/>
      <c r="F222" s="38"/>
      <c r="G222" s="37"/>
      <c r="H222" s="38"/>
      <c r="I222" s="38"/>
      <c r="J222" s="38"/>
      <c r="K222" s="38"/>
      <c r="L222" s="38"/>
      <c r="M222" s="37"/>
      <c r="N222" s="38"/>
    </row>
    <row r="223" spans="1:14" ht="15" x14ac:dyDescent="0.2">
      <c r="A223" s="23" t="s">
        <v>16</v>
      </c>
      <c r="B223" s="38"/>
      <c r="C223" s="38"/>
      <c r="D223" s="38"/>
      <c r="E223" s="38"/>
      <c r="F223" s="38"/>
      <c r="G223" s="38"/>
      <c r="H223" s="38"/>
      <c r="I223" s="38"/>
      <c r="J223" s="38"/>
      <c r="K223" s="38"/>
      <c r="L223" s="38"/>
      <c r="M223" s="38"/>
      <c r="N223" s="38"/>
    </row>
    <row r="224" spans="1:14" ht="15" x14ac:dyDescent="0.2">
      <c r="A224" s="25" t="s">
        <v>17</v>
      </c>
      <c r="B224" s="37"/>
      <c r="C224" s="38"/>
      <c r="D224" s="38"/>
      <c r="E224" s="38"/>
      <c r="F224" s="38"/>
      <c r="G224" s="38"/>
      <c r="H224" s="38"/>
      <c r="I224" s="38"/>
      <c r="J224" s="37"/>
      <c r="K224" s="37"/>
      <c r="L224" s="37"/>
      <c r="M224" s="38"/>
      <c r="N224" s="38"/>
    </row>
    <row r="225" spans="1:14" ht="15" x14ac:dyDescent="0.2">
      <c r="A225" s="25" t="s">
        <v>17</v>
      </c>
      <c r="B225" s="38"/>
      <c r="C225" s="38"/>
      <c r="D225" s="38"/>
      <c r="E225" s="38"/>
      <c r="F225" s="38"/>
      <c r="G225" s="38"/>
      <c r="H225" s="38"/>
      <c r="I225" s="38"/>
      <c r="J225" s="38"/>
      <c r="K225" s="38"/>
      <c r="L225" s="38"/>
      <c r="M225" s="38"/>
      <c r="N225" s="38"/>
    </row>
    <row r="226" spans="1:14" ht="15" x14ac:dyDescent="0.2">
      <c r="A226" s="25" t="s">
        <v>17</v>
      </c>
      <c r="B226" s="38"/>
      <c r="C226" s="38"/>
      <c r="D226" s="38"/>
      <c r="E226" s="38"/>
      <c r="F226" s="38"/>
      <c r="G226" s="38"/>
      <c r="H226" s="38"/>
      <c r="I226" s="38"/>
      <c r="J226" s="38"/>
      <c r="K226" s="38"/>
      <c r="L226" s="38"/>
      <c r="M226" s="38"/>
      <c r="N226" s="38"/>
    </row>
    <row r="227" spans="1:14" ht="15" x14ac:dyDescent="0.2">
      <c r="A227" s="25" t="s">
        <v>17</v>
      </c>
      <c r="B227" s="38"/>
      <c r="C227" s="38"/>
      <c r="D227" s="38"/>
      <c r="E227" s="38"/>
      <c r="F227" s="38"/>
      <c r="G227" s="38"/>
      <c r="H227" s="38"/>
      <c r="I227" s="38"/>
      <c r="J227" s="38"/>
      <c r="K227" s="38"/>
      <c r="L227" s="38"/>
      <c r="M227" s="38"/>
      <c r="N227" s="38"/>
    </row>
    <row r="228" spans="1:14" ht="14.25" x14ac:dyDescent="0.2">
      <c r="B228" s="22"/>
      <c r="C228" s="22"/>
      <c r="D228" s="22"/>
      <c r="E228" s="22"/>
      <c r="F228" s="22"/>
      <c r="G228" s="22"/>
      <c r="H228" s="22"/>
      <c r="I228" s="22"/>
      <c r="J228" s="22"/>
      <c r="K228" s="22"/>
      <c r="L228" s="22"/>
      <c r="M228" s="22"/>
      <c r="N228" s="22"/>
    </row>
    <row r="231" spans="1:14" ht="15" x14ac:dyDescent="0.2">
      <c r="A231" s="44" t="s">
        <v>43</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H523"/>
  <sheetViews>
    <sheetView showGridLines="0" topLeftCell="A13" zoomScale="80" zoomScaleNormal="80" zoomScalePageLayoutView="80" workbookViewId="0">
      <selection activeCell="I25" sqref="I25"/>
    </sheetView>
  </sheetViews>
  <sheetFormatPr defaultColWidth="8.85546875" defaultRowHeight="15" x14ac:dyDescent="0.2"/>
  <cols>
    <col min="1" max="1" width="10.5703125" style="157" customWidth="1"/>
    <col min="2" max="2" width="51.140625" style="159" bestFit="1" customWidth="1"/>
    <col min="3" max="3" width="19" style="117" hidden="1" customWidth="1"/>
    <col min="4" max="4" width="48.42578125" style="117" bestFit="1" customWidth="1"/>
    <col min="5" max="5" width="6.140625" style="117" bestFit="1" customWidth="1"/>
    <col min="6" max="6" width="8.28515625" style="117" bestFit="1" customWidth="1"/>
    <col min="7" max="7" width="17.28515625" style="117" bestFit="1" customWidth="1"/>
    <col min="8" max="8" width="13.5703125" style="160" customWidth="1"/>
    <col min="9" max="9" width="27.5703125" style="117" customWidth="1"/>
    <col min="10" max="10" width="28.140625" style="157" customWidth="1"/>
    <col min="11" max="11" width="33.140625" style="157" customWidth="1"/>
    <col min="12" max="13" width="17.42578125" style="157" customWidth="1"/>
    <col min="14" max="14" width="28.140625" style="157" customWidth="1"/>
    <col min="15" max="15" width="5.42578125" style="157" customWidth="1"/>
    <col min="16" max="16" width="5.42578125" style="108" customWidth="1"/>
    <col min="17" max="17" width="25.42578125" style="117" customWidth="1"/>
    <col min="18" max="18" width="17.42578125" style="157" customWidth="1"/>
    <col min="19" max="19" width="8.85546875" style="157"/>
    <col min="20" max="20" width="5.42578125" style="157" customWidth="1"/>
    <col min="21" max="21" width="10.42578125" style="162" customWidth="1"/>
    <col min="22" max="22" width="5.42578125" style="157" customWidth="1"/>
    <col min="23" max="25" width="17.85546875" style="157" customWidth="1"/>
    <col min="26" max="26" width="18" style="157" customWidth="1"/>
    <col min="27" max="27" width="17.5703125" style="157" customWidth="1"/>
    <col min="28" max="28" width="11" style="157" customWidth="1"/>
    <col min="29" max="31" width="17.85546875" style="157" customWidth="1"/>
    <col min="32" max="32" width="5.42578125" style="157" customWidth="1"/>
    <col min="33" max="33" width="17.85546875" style="157" customWidth="1"/>
    <col min="34" max="34" width="16.140625" style="117" customWidth="1"/>
    <col min="35" max="16384" width="8.85546875" style="157"/>
  </cols>
  <sheetData>
    <row r="1" spans="1:34" s="116" customFormat="1" ht="30" x14ac:dyDescent="0.2">
      <c r="A1" s="124" t="s">
        <v>3260</v>
      </c>
      <c r="B1" s="154"/>
      <c r="C1" s="125"/>
      <c r="D1" s="125"/>
      <c r="E1" s="125"/>
      <c r="F1" s="125"/>
      <c r="G1" s="125" t="s">
        <v>3261</v>
      </c>
      <c r="H1" s="126"/>
      <c r="I1" s="125"/>
      <c r="J1" s="124"/>
      <c r="K1" s="124"/>
      <c r="L1" s="124"/>
      <c r="M1" s="124"/>
      <c r="N1" s="124"/>
      <c r="O1" s="124"/>
      <c r="P1" s="127"/>
      <c r="Q1" s="125"/>
      <c r="R1" s="124"/>
      <c r="S1" s="124"/>
      <c r="T1" s="124"/>
      <c r="U1" s="128"/>
      <c r="V1" s="124"/>
      <c r="W1" s="124"/>
      <c r="X1" s="124"/>
      <c r="Y1" s="124"/>
      <c r="Z1" s="124"/>
      <c r="AA1" s="124"/>
      <c r="AB1" s="124"/>
      <c r="AC1" s="124"/>
      <c r="AD1" s="124"/>
      <c r="AE1" s="124"/>
      <c r="AF1" s="124"/>
      <c r="AG1" s="124"/>
      <c r="AH1" s="125"/>
    </row>
    <row r="2" spans="1:34" ht="21" x14ac:dyDescent="0.2">
      <c r="A2" s="129"/>
      <c r="B2" s="264"/>
      <c r="C2" s="278" t="s">
        <v>3620</v>
      </c>
      <c r="D2" s="278"/>
      <c r="E2" s="278"/>
      <c r="F2" s="278"/>
      <c r="G2" s="278"/>
      <c r="H2" s="278"/>
      <c r="I2" s="276" t="s">
        <v>3262</v>
      </c>
      <c r="J2" s="276"/>
      <c r="K2" s="276"/>
      <c r="L2" s="276"/>
      <c r="M2" s="276"/>
      <c r="N2" s="276"/>
      <c r="O2" s="276"/>
      <c r="P2" s="276"/>
      <c r="Q2" s="276"/>
      <c r="R2" s="276"/>
      <c r="S2" s="276"/>
      <c r="T2" s="276"/>
      <c r="U2" s="276"/>
      <c r="V2" s="280" t="s">
        <v>3263</v>
      </c>
      <c r="W2" s="280"/>
      <c r="X2" s="277" t="s">
        <v>3264</v>
      </c>
      <c r="Y2" s="277"/>
      <c r="Z2" s="277"/>
      <c r="AA2" s="277"/>
      <c r="AB2" s="279" t="s">
        <v>3265</v>
      </c>
      <c r="AC2" s="279"/>
      <c r="AD2" s="279"/>
      <c r="AE2" s="275" t="s">
        <v>3266</v>
      </c>
      <c r="AF2" s="275"/>
      <c r="AG2" s="275"/>
      <c r="AH2" s="275"/>
    </row>
    <row r="3" spans="1:34" s="117" customFormat="1" ht="81.95" customHeight="1" x14ac:dyDescent="0.2">
      <c r="A3" s="130" t="s">
        <v>3267</v>
      </c>
      <c r="B3" s="155" t="s">
        <v>3268</v>
      </c>
      <c r="C3" s="131" t="s">
        <v>3269</v>
      </c>
      <c r="D3" s="131" t="s">
        <v>3270</v>
      </c>
      <c r="E3" s="132" t="s">
        <v>3271</v>
      </c>
      <c r="F3" s="131" t="s">
        <v>3272</v>
      </c>
      <c r="G3" s="131" t="s">
        <v>3273</v>
      </c>
      <c r="H3" s="133" t="s">
        <v>3274</v>
      </c>
      <c r="I3" s="134" t="s">
        <v>3275</v>
      </c>
      <c r="J3" s="134" t="s">
        <v>3276</v>
      </c>
      <c r="K3" s="134" t="s">
        <v>3277</v>
      </c>
      <c r="L3" s="134" t="s">
        <v>3278</v>
      </c>
      <c r="M3" s="134" t="s">
        <v>3279</v>
      </c>
      <c r="N3" s="134" t="s">
        <v>3280</v>
      </c>
      <c r="O3" s="135" t="s">
        <v>3281</v>
      </c>
      <c r="P3" s="136" t="s">
        <v>3282</v>
      </c>
      <c r="Q3" s="134" t="s">
        <v>3283</v>
      </c>
      <c r="R3" s="134" t="s">
        <v>3284</v>
      </c>
      <c r="S3" s="134" t="s">
        <v>3285</v>
      </c>
      <c r="T3" s="135" t="s">
        <v>3286</v>
      </c>
      <c r="U3" s="137" t="s">
        <v>3287</v>
      </c>
      <c r="V3" s="138" t="s">
        <v>3288</v>
      </c>
      <c r="W3" s="139" t="s">
        <v>3289</v>
      </c>
      <c r="X3" s="140" t="s">
        <v>3290</v>
      </c>
      <c r="Y3" s="140" t="s">
        <v>3291</v>
      </c>
      <c r="Z3" s="140" t="s">
        <v>3292</v>
      </c>
      <c r="AA3" s="140" t="s">
        <v>3293</v>
      </c>
      <c r="AB3" s="141" t="s">
        <v>3294</v>
      </c>
      <c r="AC3" s="141" t="s">
        <v>3295</v>
      </c>
      <c r="AD3" s="141" t="s">
        <v>3296</v>
      </c>
      <c r="AE3" s="142" t="s">
        <v>3297</v>
      </c>
      <c r="AF3" s="143" t="s">
        <v>3298</v>
      </c>
      <c r="AG3" s="142" t="s">
        <v>3272</v>
      </c>
      <c r="AH3" s="142" t="s">
        <v>3299</v>
      </c>
    </row>
    <row r="4" spans="1:34" s="158" customFormat="1" ht="15" customHeight="1" x14ac:dyDescent="0.2">
      <c r="A4" s="144" t="s">
        <v>3300</v>
      </c>
      <c r="B4" s="265"/>
      <c r="C4" s="145"/>
      <c r="D4" s="145"/>
      <c r="E4" s="145"/>
      <c r="F4" s="145"/>
      <c r="G4" s="145"/>
      <c r="H4" s="146"/>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row>
    <row r="5" spans="1:34" s="161" customFormat="1" ht="15" customHeight="1" x14ac:dyDescent="0.2">
      <c r="A5" s="118">
        <v>1</v>
      </c>
      <c r="B5" s="260" t="s">
        <v>2407</v>
      </c>
      <c r="C5" s="119"/>
      <c r="D5" s="119" t="s">
        <v>3301</v>
      </c>
      <c r="E5" s="119"/>
      <c r="F5" s="119"/>
      <c r="G5" s="119"/>
      <c r="H5" s="147" t="s">
        <v>65</v>
      </c>
      <c r="I5" s="261" t="s">
        <v>3302</v>
      </c>
      <c r="J5" s="261"/>
      <c r="K5" s="260"/>
      <c r="L5" s="260" t="s">
        <v>3303</v>
      </c>
      <c r="M5" s="260"/>
      <c r="N5" s="260" t="s">
        <v>2407</v>
      </c>
      <c r="O5" s="260" t="s">
        <v>68</v>
      </c>
      <c r="P5" s="261" t="s">
        <v>69</v>
      </c>
      <c r="Q5" s="260"/>
      <c r="R5" s="266"/>
      <c r="S5" s="260"/>
      <c r="T5" s="260"/>
      <c r="U5" s="260">
        <v>1</v>
      </c>
      <c r="V5" s="119"/>
      <c r="W5" s="119"/>
      <c r="X5" s="119"/>
      <c r="Y5" s="119"/>
      <c r="Z5" s="119"/>
      <c r="AA5" s="119"/>
      <c r="AB5" s="119"/>
      <c r="AC5" s="119"/>
      <c r="AD5" s="119"/>
      <c r="AE5" s="119"/>
      <c r="AF5" s="119"/>
      <c r="AG5" s="119"/>
      <c r="AH5" s="119"/>
    </row>
    <row r="6" spans="1:34" s="161" customFormat="1" ht="30" x14ac:dyDescent="0.2">
      <c r="A6" s="118">
        <v>2</v>
      </c>
      <c r="B6" s="260" t="s">
        <v>3304</v>
      </c>
      <c r="C6" s="119"/>
      <c r="D6" s="119"/>
      <c r="E6" s="119"/>
      <c r="F6" s="119"/>
      <c r="G6" s="119"/>
      <c r="H6" s="147" t="s">
        <v>3305</v>
      </c>
      <c r="I6" s="261" t="s">
        <v>3302</v>
      </c>
      <c r="J6" s="261"/>
      <c r="K6" s="260"/>
      <c r="L6" s="260" t="s">
        <v>3303</v>
      </c>
      <c r="M6" s="260"/>
      <c r="N6" s="260" t="s">
        <v>2387</v>
      </c>
      <c r="O6" s="260" t="s">
        <v>68</v>
      </c>
      <c r="P6" s="260" t="s">
        <v>69</v>
      </c>
      <c r="Q6" s="260"/>
      <c r="R6" s="266"/>
      <c r="S6" s="260"/>
      <c r="T6" s="260"/>
      <c r="U6" s="260">
        <v>1</v>
      </c>
      <c r="V6" s="119"/>
      <c r="W6" s="119"/>
      <c r="X6" s="119"/>
      <c r="Y6" s="119"/>
      <c r="Z6" s="119"/>
      <c r="AA6" s="119"/>
      <c r="AB6" s="119"/>
      <c r="AC6" s="119"/>
      <c r="AD6" s="119"/>
      <c r="AE6" s="119"/>
      <c r="AF6" s="119"/>
      <c r="AG6" s="119"/>
      <c r="AH6" s="119"/>
    </row>
    <row r="7" spans="1:34" s="161" customFormat="1" ht="30" x14ac:dyDescent="0.2">
      <c r="A7" s="118"/>
      <c r="B7" s="260"/>
      <c r="C7" s="119"/>
      <c r="D7" s="119"/>
      <c r="E7" s="119"/>
      <c r="F7" s="119"/>
      <c r="G7" s="119"/>
      <c r="H7" s="147"/>
      <c r="I7" s="261" t="s">
        <v>3306</v>
      </c>
      <c r="J7" s="261" t="s">
        <v>3302</v>
      </c>
      <c r="K7" s="260"/>
      <c r="L7" s="260" t="s">
        <v>3303</v>
      </c>
      <c r="M7" s="260"/>
      <c r="N7" s="260" t="s">
        <v>2403</v>
      </c>
      <c r="O7" s="260" t="s">
        <v>68</v>
      </c>
      <c r="P7" s="260" t="s">
        <v>69</v>
      </c>
      <c r="Q7" s="260"/>
      <c r="R7" s="266"/>
      <c r="S7" s="260"/>
      <c r="T7" s="260"/>
      <c r="U7" s="260">
        <v>1</v>
      </c>
      <c r="V7" s="119"/>
      <c r="W7" s="119"/>
      <c r="X7" s="119"/>
      <c r="Y7" s="119"/>
      <c r="Z7" s="119"/>
      <c r="AA7" s="119"/>
      <c r="AB7" s="119"/>
      <c r="AC7" s="119"/>
      <c r="AD7" s="119"/>
      <c r="AE7" s="119"/>
      <c r="AF7" s="119"/>
      <c r="AG7" s="119"/>
      <c r="AH7" s="119"/>
    </row>
    <row r="8" spans="1:34" s="161" customFormat="1" ht="30" x14ac:dyDescent="0.2">
      <c r="A8" s="118">
        <v>3</v>
      </c>
      <c r="B8" s="260" t="s">
        <v>881</v>
      </c>
      <c r="C8" s="119"/>
      <c r="D8" s="119" t="s">
        <v>3307</v>
      </c>
      <c r="E8" s="119"/>
      <c r="F8" s="119"/>
      <c r="G8" s="119"/>
      <c r="H8" s="147" t="s">
        <v>3305</v>
      </c>
      <c r="I8" s="260" t="s">
        <v>3302</v>
      </c>
      <c r="J8" s="260"/>
      <c r="K8" s="260"/>
      <c r="L8" s="260"/>
      <c r="M8" s="260"/>
      <c r="N8" s="260" t="s">
        <v>881</v>
      </c>
      <c r="O8" s="260" t="s">
        <v>76</v>
      </c>
      <c r="P8" s="260">
        <v>1</v>
      </c>
      <c r="Q8" s="260" t="s">
        <v>3308</v>
      </c>
      <c r="R8" s="119" t="s">
        <v>3307</v>
      </c>
      <c r="S8" s="119"/>
      <c r="T8" s="119"/>
      <c r="U8" s="119">
        <v>1</v>
      </c>
      <c r="V8" s="119"/>
      <c r="W8" s="119"/>
      <c r="X8" s="119"/>
      <c r="Y8" s="119"/>
      <c r="Z8" s="119"/>
      <c r="AA8" s="119"/>
      <c r="AB8" s="119"/>
      <c r="AC8" s="119"/>
      <c r="AD8" s="119"/>
      <c r="AE8" s="119"/>
      <c r="AF8" s="119"/>
      <c r="AG8" s="119"/>
      <c r="AH8" s="119"/>
    </row>
    <row r="9" spans="1:34" s="161" customFormat="1" x14ac:dyDescent="0.2">
      <c r="A9" s="118">
        <v>4</v>
      </c>
      <c r="B9" s="267" t="s">
        <v>3309</v>
      </c>
      <c r="C9" s="119"/>
      <c r="D9" s="119" t="s">
        <v>3310</v>
      </c>
      <c r="E9" s="119"/>
      <c r="F9" s="119"/>
      <c r="G9" s="119"/>
      <c r="H9" s="147" t="s">
        <v>65</v>
      </c>
      <c r="I9" s="119" t="s">
        <v>3311</v>
      </c>
      <c r="J9" s="119"/>
      <c r="K9" s="119"/>
      <c r="L9" s="119"/>
      <c r="M9" s="119"/>
      <c r="N9" s="119" t="s">
        <v>1052</v>
      </c>
      <c r="O9" s="119" t="s">
        <v>76</v>
      </c>
      <c r="P9" s="119">
        <v>1</v>
      </c>
      <c r="Q9" s="119"/>
      <c r="R9" s="119"/>
      <c r="S9" s="119"/>
      <c r="T9" s="119"/>
      <c r="U9" s="119">
        <v>1</v>
      </c>
      <c r="V9" s="119"/>
      <c r="W9" s="119"/>
      <c r="X9" s="119"/>
      <c r="Y9" s="119"/>
      <c r="Z9" s="119"/>
      <c r="AA9" s="119"/>
      <c r="AB9" s="119"/>
      <c r="AC9" s="119"/>
      <c r="AD9" s="119"/>
      <c r="AE9" s="119"/>
      <c r="AF9" s="119"/>
      <c r="AG9" s="119"/>
      <c r="AH9" s="119"/>
    </row>
    <row r="10" spans="1:34" s="161" customFormat="1" x14ac:dyDescent="0.2">
      <c r="A10" s="118"/>
      <c r="B10" s="260"/>
      <c r="C10" s="119"/>
      <c r="D10" s="119"/>
      <c r="E10" s="119"/>
      <c r="F10" s="119"/>
      <c r="G10" s="119"/>
      <c r="H10" s="147"/>
      <c r="I10" s="119" t="s">
        <v>3306</v>
      </c>
      <c r="J10" s="119" t="s">
        <v>3311</v>
      </c>
      <c r="K10" s="119"/>
      <c r="L10" s="119"/>
      <c r="M10" s="119"/>
      <c r="N10" s="119" t="s">
        <v>1034</v>
      </c>
      <c r="O10" s="119" t="s">
        <v>88</v>
      </c>
      <c r="P10" s="119" t="s">
        <v>69</v>
      </c>
      <c r="Q10" s="119"/>
      <c r="R10" s="119"/>
      <c r="S10" s="119"/>
      <c r="T10" s="119"/>
      <c r="U10" s="119">
        <v>1</v>
      </c>
      <c r="V10" s="119"/>
      <c r="W10" s="119"/>
      <c r="X10" s="119"/>
      <c r="Y10" s="119"/>
      <c r="Z10" s="119"/>
      <c r="AA10" s="119"/>
      <c r="AB10" s="119"/>
      <c r="AC10" s="119"/>
      <c r="AD10" s="119"/>
      <c r="AE10" s="119"/>
      <c r="AF10" s="119"/>
      <c r="AG10" s="119"/>
      <c r="AH10" s="119"/>
    </row>
    <row r="11" spans="1:34" s="161" customFormat="1" x14ac:dyDescent="0.2">
      <c r="A11" s="118"/>
      <c r="B11" s="260"/>
      <c r="C11" s="119"/>
      <c r="D11" s="119"/>
      <c r="E11" s="119"/>
      <c r="F11" s="119"/>
      <c r="G11" s="119"/>
      <c r="H11" s="147"/>
      <c r="I11" s="119" t="s">
        <v>3306</v>
      </c>
      <c r="J11" s="119" t="s">
        <v>3311</v>
      </c>
      <c r="K11" s="119"/>
      <c r="L11" s="119"/>
      <c r="M11" s="119"/>
      <c r="N11" s="119" t="s">
        <v>1038</v>
      </c>
      <c r="O11" s="119" t="s">
        <v>88</v>
      </c>
      <c r="P11" s="119" t="s">
        <v>69</v>
      </c>
      <c r="Q11" s="119"/>
      <c r="R11" s="119"/>
      <c r="S11" s="119"/>
      <c r="T11" s="119"/>
      <c r="U11" s="119"/>
      <c r="V11" s="119"/>
      <c r="W11" s="119"/>
      <c r="X11" s="119"/>
      <c r="Y11" s="119"/>
      <c r="Z11" s="119"/>
      <c r="AA11" s="119"/>
      <c r="AB11" s="119"/>
      <c r="AC11" s="119"/>
      <c r="AD11" s="119"/>
      <c r="AE11" s="119"/>
      <c r="AF11" s="119"/>
      <c r="AG11" s="119"/>
      <c r="AH11" s="119"/>
    </row>
    <row r="12" spans="1:34" s="161" customFormat="1" x14ac:dyDescent="0.2">
      <c r="A12" s="118">
        <v>5</v>
      </c>
      <c r="B12" s="260" t="s">
        <v>876</v>
      </c>
      <c r="C12" s="119"/>
      <c r="D12" s="119" t="s">
        <v>3310</v>
      </c>
      <c r="E12" s="119"/>
      <c r="F12" s="119"/>
      <c r="G12" s="119"/>
      <c r="H12" s="147" t="s">
        <v>65</v>
      </c>
      <c r="I12" s="260" t="s">
        <v>3302</v>
      </c>
      <c r="J12" s="260"/>
      <c r="K12" s="260"/>
      <c r="L12" s="260"/>
      <c r="M12" s="260"/>
      <c r="N12" s="260" t="s">
        <v>876</v>
      </c>
      <c r="O12" s="260" t="s">
        <v>88</v>
      </c>
      <c r="P12" s="260">
        <v>1</v>
      </c>
      <c r="Q12" s="260"/>
      <c r="R12" s="266"/>
      <c r="S12" s="260"/>
      <c r="T12" s="260"/>
      <c r="U12" s="260">
        <v>1</v>
      </c>
      <c r="V12" s="119"/>
      <c r="W12" s="119"/>
      <c r="X12" s="119"/>
      <c r="Y12" s="119"/>
      <c r="Z12" s="119"/>
      <c r="AA12" s="119"/>
      <c r="AB12" s="119"/>
      <c r="AC12" s="119"/>
      <c r="AD12" s="119"/>
      <c r="AE12" s="119"/>
      <c r="AF12" s="119"/>
      <c r="AG12" s="119"/>
      <c r="AH12" s="119"/>
    </row>
    <row r="13" spans="1:34" s="161" customFormat="1" x14ac:dyDescent="0.2">
      <c r="A13" s="118">
        <v>6</v>
      </c>
      <c r="B13" s="260" t="s">
        <v>3312</v>
      </c>
      <c r="C13" s="119"/>
      <c r="D13" s="119"/>
      <c r="E13" s="119"/>
      <c r="F13" s="119"/>
      <c r="G13" s="119"/>
      <c r="H13" s="147" t="s">
        <v>65</v>
      </c>
      <c r="I13" s="260" t="s">
        <v>3302</v>
      </c>
      <c r="J13" s="260"/>
      <c r="K13" s="260"/>
      <c r="L13" s="260"/>
      <c r="M13" s="260"/>
      <c r="N13" s="260" t="s">
        <v>872</v>
      </c>
      <c r="O13" s="260" t="s">
        <v>285</v>
      </c>
      <c r="P13" s="260" t="s">
        <v>158</v>
      </c>
      <c r="Q13" s="150"/>
      <c r="R13" s="268"/>
      <c r="S13" s="260"/>
      <c r="T13" s="260"/>
      <c r="U13" s="260">
        <v>1</v>
      </c>
      <c r="V13" s="119"/>
      <c r="W13" s="119"/>
      <c r="X13" s="119"/>
      <c r="Y13" s="119"/>
      <c r="Z13" s="119"/>
      <c r="AA13" s="119"/>
      <c r="AB13" s="119"/>
      <c r="AC13" s="119"/>
      <c r="AD13" s="119"/>
      <c r="AE13" s="119"/>
      <c r="AF13" s="119"/>
      <c r="AG13" s="119"/>
      <c r="AH13" s="119"/>
    </row>
    <row r="14" spans="1:34" s="158" customFormat="1" x14ac:dyDescent="0.2">
      <c r="A14" s="144" t="s">
        <v>3313</v>
      </c>
      <c r="B14" s="265"/>
      <c r="C14" s="145"/>
      <c r="D14" s="145"/>
      <c r="E14" s="145"/>
      <c r="F14" s="145"/>
      <c r="G14" s="145"/>
      <c r="H14" s="146"/>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row>
    <row r="15" spans="1:34" s="161" customFormat="1" x14ac:dyDescent="0.2">
      <c r="A15" s="118">
        <v>7</v>
      </c>
      <c r="B15" s="267" t="s">
        <v>3314</v>
      </c>
      <c r="C15" s="119"/>
      <c r="D15" s="119" t="s">
        <v>3315</v>
      </c>
      <c r="E15" s="119"/>
      <c r="F15" s="119"/>
      <c r="G15" s="119"/>
      <c r="H15" s="147" t="s">
        <v>3305</v>
      </c>
      <c r="I15" s="119" t="s">
        <v>3311</v>
      </c>
      <c r="J15" s="119"/>
      <c r="K15" s="119" t="s">
        <v>3316</v>
      </c>
      <c r="L15" s="119"/>
      <c r="M15" s="119"/>
      <c r="N15" s="119" t="s">
        <v>1052</v>
      </c>
      <c r="O15" s="119" t="s">
        <v>76</v>
      </c>
      <c r="P15" s="119">
        <v>1</v>
      </c>
      <c r="Q15" s="119" t="s">
        <v>3317</v>
      </c>
      <c r="R15" s="119" t="s">
        <v>3318</v>
      </c>
      <c r="S15" s="119"/>
      <c r="T15" s="119"/>
      <c r="U15" s="119">
        <v>1</v>
      </c>
      <c r="V15" s="119"/>
      <c r="W15" s="119"/>
      <c r="X15" s="119"/>
      <c r="Y15" s="119"/>
      <c r="Z15" s="119"/>
      <c r="AA15" s="119"/>
      <c r="AB15" s="119"/>
      <c r="AC15" s="119"/>
      <c r="AD15" s="119"/>
      <c r="AE15" s="119"/>
      <c r="AF15" s="119"/>
      <c r="AG15" s="119"/>
      <c r="AH15" s="119"/>
    </row>
    <row r="16" spans="1:34" s="161" customFormat="1" x14ac:dyDescent="0.2">
      <c r="A16" s="118"/>
      <c r="B16" s="260"/>
      <c r="C16" s="119"/>
      <c r="D16" s="119"/>
      <c r="E16" s="119"/>
      <c r="F16" s="119"/>
      <c r="G16" s="119"/>
      <c r="H16" s="147"/>
      <c r="I16" s="119" t="s">
        <v>3306</v>
      </c>
      <c r="J16" s="119" t="s">
        <v>3311</v>
      </c>
      <c r="K16" s="119"/>
      <c r="L16" s="119"/>
      <c r="M16" s="119"/>
      <c r="N16" s="119" t="s">
        <v>1034</v>
      </c>
      <c r="O16" s="119" t="s">
        <v>88</v>
      </c>
      <c r="P16" s="119" t="s">
        <v>69</v>
      </c>
      <c r="Q16" s="119"/>
      <c r="R16" s="119"/>
      <c r="S16" s="119"/>
      <c r="T16" s="119"/>
      <c r="U16" s="119">
        <v>1</v>
      </c>
      <c r="V16" s="119"/>
      <c r="W16" s="119"/>
      <c r="X16" s="119"/>
      <c r="Y16" s="119"/>
      <c r="Z16" s="119"/>
      <c r="AA16" s="119"/>
      <c r="AB16" s="119"/>
      <c r="AC16" s="119"/>
      <c r="AD16" s="119"/>
      <c r="AE16" s="119"/>
      <c r="AF16" s="119"/>
      <c r="AG16" s="119"/>
      <c r="AH16" s="119"/>
    </row>
    <row r="17" spans="1:34" s="161" customFormat="1" x14ac:dyDescent="0.2">
      <c r="A17" s="118"/>
      <c r="B17" s="260"/>
      <c r="C17" s="119"/>
      <c r="D17" s="119"/>
      <c r="E17" s="119"/>
      <c r="F17" s="119"/>
      <c r="G17" s="119"/>
      <c r="H17" s="147"/>
      <c r="I17" s="119" t="s">
        <v>3306</v>
      </c>
      <c r="J17" s="119" t="s">
        <v>3311</v>
      </c>
      <c r="K17" s="119"/>
      <c r="L17" s="119"/>
      <c r="M17" s="119"/>
      <c r="N17" s="119" t="s">
        <v>1038</v>
      </c>
      <c r="O17" s="119" t="s">
        <v>88</v>
      </c>
      <c r="P17" s="119" t="s">
        <v>69</v>
      </c>
      <c r="Q17" s="119"/>
      <c r="R17" s="119"/>
      <c r="S17" s="119"/>
      <c r="T17" s="119"/>
      <c r="U17" s="119"/>
      <c r="V17" s="119"/>
      <c r="W17" s="119"/>
      <c r="X17" s="119"/>
      <c r="Y17" s="119"/>
      <c r="Z17" s="119"/>
      <c r="AA17" s="119"/>
      <c r="AB17" s="119"/>
      <c r="AC17" s="119"/>
      <c r="AD17" s="119"/>
      <c r="AE17" s="119"/>
      <c r="AF17" s="119"/>
      <c r="AG17" s="119"/>
      <c r="AH17" s="119"/>
    </row>
    <row r="18" spans="1:34" s="161" customFormat="1" ht="90" x14ac:dyDescent="0.2">
      <c r="A18" s="118">
        <v>8</v>
      </c>
      <c r="B18" s="267" t="s">
        <v>3319</v>
      </c>
      <c r="C18" s="119"/>
      <c r="D18" s="119" t="s">
        <v>3320</v>
      </c>
      <c r="E18" s="119"/>
      <c r="F18" s="119"/>
      <c r="G18" s="119"/>
      <c r="H18" s="147" t="s">
        <v>65</v>
      </c>
      <c r="I18" s="260" t="s">
        <v>3321</v>
      </c>
      <c r="J18" s="178" t="s">
        <v>3322</v>
      </c>
      <c r="K18" s="119"/>
      <c r="L18" s="119" t="s">
        <v>3323</v>
      </c>
      <c r="M18" s="119"/>
      <c r="N18" s="260" t="s">
        <v>1226</v>
      </c>
      <c r="O18" s="119" t="s">
        <v>76</v>
      </c>
      <c r="P18" s="119">
        <v>1</v>
      </c>
      <c r="Q18" s="260" t="s">
        <v>3324</v>
      </c>
      <c r="R18" s="119" t="s">
        <v>3325</v>
      </c>
      <c r="S18" s="119"/>
      <c r="T18" s="119"/>
      <c r="U18" s="119">
        <v>2</v>
      </c>
      <c r="V18" s="119"/>
      <c r="W18" s="119"/>
      <c r="X18" s="119"/>
      <c r="Y18" s="119"/>
      <c r="Z18" s="119"/>
      <c r="AA18" s="119"/>
      <c r="AB18" s="119"/>
      <c r="AC18" s="119"/>
      <c r="AD18" s="119"/>
      <c r="AE18" s="119"/>
      <c r="AF18" s="119"/>
      <c r="AG18" s="119"/>
      <c r="AH18" s="119"/>
    </row>
    <row r="19" spans="1:34" s="161" customFormat="1" x14ac:dyDescent="0.2">
      <c r="A19" s="118"/>
      <c r="B19" s="260"/>
      <c r="C19" s="119"/>
      <c r="D19" s="119"/>
      <c r="E19" s="119"/>
      <c r="F19" s="119"/>
      <c r="G19" s="119"/>
      <c r="H19" s="147"/>
      <c r="I19" s="260" t="s">
        <v>3306</v>
      </c>
      <c r="J19" s="260" t="s">
        <v>3321</v>
      </c>
      <c r="K19" s="152"/>
      <c r="L19" s="260" t="s">
        <v>3323</v>
      </c>
      <c r="M19" s="260"/>
      <c r="N19" s="260" t="s">
        <v>1230</v>
      </c>
      <c r="O19" s="260" t="s">
        <v>585</v>
      </c>
      <c r="P19" s="260" t="s">
        <v>69</v>
      </c>
      <c r="Q19" s="119"/>
      <c r="R19" s="119"/>
      <c r="S19" s="119"/>
      <c r="T19" s="119"/>
      <c r="U19" s="119">
        <v>2</v>
      </c>
      <c r="V19" s="119"/>
      <c r="W19" s="119"/>
      <c r="X19" s="119"/>
      <c r="Y19" s="119"/>
      <c r="Z19" s="119"/>
      <c r="AA19" s="119"/>
      <c r="AB19" s="119"/>
      <c r="AC19" s="119"/>
      <c r="AD19" s="119"/>
      <c r="AE19" s="119"/>
      <c r="AF19" s="119"/>
      <c r="AG19" s="119"/>
      <c r="AH19" s="119"/>
    </row>
    <row r="20" spans="1:34" s="161" customFormat="1" x14ac:dyDescent="0.2">
      <c r="A20" s="118"/>
      <c r="B20" s="260"/>
      <c r="C20" s="119"/>
      <c r="D20" s="119"/>
      <c r="E20" s="119"/>
      <c r="F20" s="119"/>
      <c r="G20" s="119"/>
      <c r="H20" s="147"/>
      <c r="I20" s="260" t="s">
        <v>3306</v>
      </c>
      <c r="J20" s="260" t="s">
        <v>3321</v>
      </c>
      <c r="K20" s="260"/>
      <c r="L20" s="260" t="s">
        <v>3323</v>
      </c>
      <c r="M20" s="260"/>
      <c r="N20" s="260" t="s">
        <v>1235</v>
      </c>
      <c r="O20" s="260" t="s">
        <v>88</v>
      </c>
      <c r="P20" s="260" t="s">
        <v>69</v>
      </c>
      <c r="Q20" s="119"/>
      <c r="R20" s="119"/>
      <c r="S20" s="119"/>
      <c r="T20" s="119"/>
      <c r="U20" s="119">
        <v>2</v>
      </c>
      <c r="V20" s="119"/>
      <c r="W20" s="119"/>
      <c r="X20" s="119"/>
      <c r="Y20" s="119"/>
      <c r="Z20" s="119"/>
      <c r="AA20" s="119"/>
      <c r="AB20" s="119"/>
      <c r="AC20" s="119"/>
      <c r="AD20" s="119"/>
      <c r="AE20" s="119"/>
      <c r="AF20" s="119"/>
      <c r="AG20" s="119"/>
      <c r="AH20" s="119"/>
    </row>
    <row r="21" spans="1:34" s="161" customFormat="1" ht="120" x14ac:dyDescent="0.2">
      <c r="A21" s="118"/>
      <c r="B21" s="260"/>
      <c r="C21" s="119"/>
      <c r="D21" s="119"/>
      <c r="E21" s="119"/>
      <c r="F21" s="119"/>
      <c r="G21" s="119"/>
      <c r="H21" s="147"/>
      <c r="I21" s="260" t="s">
        <v>3321</v>
      </c>
      <c r="J21" s="119"/>
      <c r="K21" s="119"/>
      <c r="L21" s="119" t="s">
        <v>3323</v>
      </c>
      <c r="M21" s="119"/>
      <c r="N21" s="260" t="s">
        <v>1226</v>
      </c>
      <c r="O21" s="119" t="s">
        <v>76</v>
      </c>
      <c r="P21" s="119">
        <v>1</v>
      </c>
      <c r="Q21" s="260" t="s">
        <v>3324</v>
      </c>
      <c r="R21" s="119" t="s">
        <v>3326</v>
      </c>
      <c r="S21" s="119"/>
      <c r="T21" s="119"/>
      <c r="U21" s="119">
        <v>2</v>
      </c>
      <c r="V21" s="119"/>
      <c r="W21" s="119"/>
      <c r="X21" s="119"/>
      <c r="Y21" s="119"/>
      <c r="Z21" s="119"/>
      <c r="AA21" s="119"/>
      <c r="AB21" s="119"/>
      <c r="AC21" s="119"/>
      <c r="AD21" s="119"/>
      <c r="AE21" s="119"/>
      <c r="AF21" s="119"/>
      <c r="AG21" s="119"/>
      <c r="AH21" s="119"/>
    </row>
    <row r="22" spans="1:34" s="161" customFormat="1" x14ac:dyDescent="0.2">
      <c r="A22" s="118"/>
      <c r="B22" s="260"/>
      <c r="C22" s="119"/>
      <c r="D22" s="119"/>
      <c r="E22" s="119"/>
      <c r="F22" s="119"/>
      <c r="G22" s="119"/>
      <c r="H22" s="147"/>
      <c r="I22" s="260" t="s">
        <v>3306</v>
      </c>
      <c r="J22" s="260" t="s">
        <v>3321</v>
      </c>
      <c r="K22" s="152"/>
      <c r="L22" s="260" t="s">
        <v>3323</v>
      </c>
      <c r="M22" s="260"/>
      <c r="N22" s="260" t="s">
        <v>1230</v>
      </c>
      <c r="O22" s="260" t="s">
        <v>585</v>
      </c>
      <c r="P22" s="260" t="s">
        <v>69</v>
      </c>
      <c r="Q22" s="119"/>
      <c r="R22" s="119"/>
      <c r="S22" s="119"/>
      <c r="T22" s="119"/>
      <c r="U22" s="119">
        <v>2</v>
      </c>
      <c r="V22" s="119"/>
      <c r="W22" s="119"/>
      <c r="X22" s="119"/>
      <c r="Y22" s="119"/>
      <c r="Z22" s="119"/>
      <c r="AA22" s="119"/>
      <c r="AB22" s="119"/>
      <c r="AC22" s="119"/>
      <c r="AD22" s="119"/>
      <c r="AE22" s="119"/>
      <c r="AF22" s="119"/>
      <c r="AG22" s="119"/>
      <c r="AH22" s="119"/>
    </row>
    <row r="23" spans="1:34" s="161" customFormat="1" x14ac:dyDescent="0.2">
      <c r="A23" s="118"/>
      <c r="B23" s="260"/>
      <c r="C23" s="119"/>
      <c r="D23" s="119"/>
      <c r="E23" s="119"/>
      <c r="F23" s="119"/>
      <c r="G23" s="119"/>
      <c r="H23" s="147"/>
      <c r="I23" s="260" t="s">
        <v>3306</v>
      </c>
      <c r="J23" s="260" t="s">
        <v>3321</v>
      </c>
      <c r="K23" s="260"/>
      <c r="L23" s="260" t="s">
        <v>3323</v>
      </c>
      <c r="M23" s="260"/>
      <c r="N23" s="260" t="s">
        <v>1235</v>
      </c>
      <c r="O23" s="260" t="s">
        <v>88</v>
      </c>
      <c r="P23" s="260" t="s">
        <v>69</v>
      </c>
      <c r="Q23" s="119"/>
      <c r="R23" s="119"/>
      <c r="S23" s="119"/>
      <c r="T23" s="119"/>
      <c r="U23" s="119">
        <v>2</v>
      </c>
      <c r="V23" s="119"/>
      <c r="W23" s="119"/>
      <c r="X23" s="119"/>
      <c r="Y23" s="119"/>
      <c r="Z23" s="119"/>
      <c r="AA23" s="119"/>
      <c r="AB23" s="119"/>
      <c r="AC23" s="119"/>
      <c r="AD23" s="119"/>
      <c r="AE23" s="119"/>
      <c r="AF23" s="119"/>
      <c r="AG23" s="119"/>
      <c r="AH23" s="119"/>
    </row>
    <row r="24" spans="1:34" s="161" customFormat="1" ht="30" x14ac:dyDescent="0.2">
      <c r="A24" s="118">
        <v>9</v>
      </c>
      <c r="B24" s="260" t="s">
        <v>3327</v>
      </c>
      <c r="C24" s="119"/>
      <c r="D24" s="119" t="s">
        <v>3328</v>
      </c>
      <c r="E24" s="119"/>
      <c r="F24" s="119"/>
      <c r="G24" s="119"/>
      <c r="H24" s="147" t="s">
        <v>3305</v>
      </c>
      <c r="I24" s="149" t="s">
        <v>3329</v>
      </c>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row>
    <row r="25" spans="1:34" s="161" customFormat="1" ht="100.5" customHeight="1" x14ac:dyDescent="0.2">
      <c r="A25" s="118">
        <v>10</v>
      </c>
      <c r="B25" s="267" t="s">
        <v>3330</v>
      </c>
      <c r="C25" s="119"/>
      <c r="D25" s="119" t="s">
        <v>3331</v>
      </c>
      <c r="E25" s="119"/>
      <c r="F25" s="119"/>
      <c r="G25" s="119"/>
      <c r="H25" s="147" t="s">
        <v>3305</v>
      </c>
      <c r="I25" s="260" t="s">
        <v>3311</v>
      </c>
      <c r="J25" s="260"/>
      <c r="K25" s="260" t="s">
        <v>3316</v>
      </c>
      <c r="L25" s="150"/>
      <c r="M25" s="260"/>
      <c r="N25" s="260" t="s">
        <v>1052</v>
      </c>
      <c r="O25" s="260" t="s">
        <v>76</v>
      </c>
      <c r="P25" s="260">
        <v>1</v>
      </c>
      <c r="Q25" s="260" t="s">
        <v>3317</v>
      </c>
      <c r="R25" s="151" t="s">
        <v>3318</v>
      </c>
      <c r="S25" s="148"/>
      <c r="T25" s="260"/>
      <c r="U25" s="260">
        <v>1</v>
      </c>
      <c r="V25" s="119"/>
      <c r="W25" s="119"/>
      <c r="X25" s="119"/>
      <c r="Y25" s="119"/>
      <c r="Z25" s="119"/>
      <c r="AA25" s="119"/>
      <c r="AB25" s="119"/>
      <c r="AC25" s="119"/>
      <c r="AD25" s="119"/>
      <c r="AE25" s="119"/>
      <c r="AF25" s="119"/>
      <c r="AG25" s="119"/>
      <c r="AH25" s="119"/>
    </row>
    <row r="26" spans="1:34" s="161" customFormat="1" x14ac:dyDescent="0.2">
      <c r="A26" s="118"/>
      <c r="B26" s="260"/>
      <c r="C26" s="119"/>
      <c r="D26" s="119"/>
      <c r="E26" s="119"/>
      <c r="F26" s="119"/>
      <c r="G26" s="119"/>
      <c r="H26" s="147"/>
      <c r="I26" s="260" t="s">
        <v>3306</v>
      </c>
      <c r="J26" s="260" t="s">
        <v>3311</v>
      </c>
      <c r="K26" s="260"/>
      <c r="L26" s="260"/>
      <c r="M26" s="260"/>
      <c r="N26" s="260" t="s">
        <v>1034</v>
      </c>
      <c r="O26" s="260" t="s">
        <v>88</v>
      </c>
      <c r="P26" s="260" t="s">
        <v>69</v>
      </c>
      <c r="Q26" s="260"/>
      <c r="R26" s="266"/>
      <c r="S26" s="260"/>
      <c r="T26" s="260"/>
      <c r="U26" s="260">
        <v>1</v>
      </c>
      <c r="V26" s="119"/>
      <c r="W26" s="119"/>
      <c r="X26" s="119"/>
      <c r="Y26" s="119"/>
      <c r="Z26" s="119"/>
      <c r="AA26" s="119"/>
      <c r="AB26" s="119"/>
      <c r="AC26" s="119"/>
      <c r="AD26" s="119"/>
      <c r="AE26" s="119"/>
      <c r="AF26" s="119"/>
      <c r="AG26" s="119"/>
      <c r="AH26" s="119"/>
    </row>
    <row r="27" spans="1:34" s="161" customFormat="1" x14ac:dyDescent="0.2">
      <c r="A27" s="118"/>
      <c r="B27" s="260"/>
      <c r="C27" s="119"/>
      <c r="D27" s="119"/>
      <c r="E27" s="119"/>
      <c r="F27" s="119"/>
      <c r="G27" s="119"/>
      <c r="H27" s="147"/>
      <c r="I27" s="260" t="s">
        <v>3306</v>
      </c>
      <c r="J27" s="260" t="s">
        <v>3311</v>
      </c>
      <c r="K27" s="260"/>
      <c r="L27" s="260"/>
      <c r="M27" s="260"/>
      <c r="N27" s="260" t="s">
        <v>1038</v>
      </c>
      <c r="O27" s="260" t="s">
        <v>88</v>
      </c>
      <c r="P27" s="260" t="s">
        <v>69</v>
      </c>
      <c r="Q27" s="260"/>
      <c r="R27" s="266"/>
      <c r="S27" s="260"/>
      <c r="T27" s="260"/>
      <c r="U27" s="260">
        <v>1</v>
      </c>
      <c r="V27" s="119"/>
      <c r="W27" s="119"/>
      <c r="X27" s="119"/>
      <c r="Y27" s="119"/>
      <c r="Z27" s="119"/>
      <c r="AA27" s="119"/>
      <c r="AB27" s="119"/>
      <c r="AC27" s="119"/>
      <c r="AD27" s="119"/>
      <c r="AE27" s="119"/>
      <c r="AF27" s="119"/>
      <c r="AG27" s="119"/>
      <c r="AH27" s="119"/>
    </row>
    <row r="28" spans="1:34" s="158" customFormat="1" x14ac:dyDescent="0.2">
      <c r="A28" s="144" t="s">
        <v>3332</v>
      </c>
      <c r="B28" s="265"/>
      <c r="C28" s="145"/>
      <c r="D28" s="145"/>
      <c r="E28" s="145"/>
      <c r="F28" s="145"/>
      <c r="G28" s="145"/>
      <c r="H28" s="146"/>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row>
    <row r="29" spans="1:34" s="161" customFormat="1" ht="180" x14ac:dyDescent="0.2">
      <c r="A29" s="118">
        <v>11</v>
      </c>
      <c r="B29" s="260" t="s">
        <v>3333</v>
      </c>
      <c r="C29" s="119"/>
      <c r="D29" s="119" t="s">
        <v>3334</v>
      </c>
      <c r="E29" s="119"/>
      <c r="F29" s="119"/>
      <c r="G29" s="119"/>
      <c r="H29" s="147" t="s">
        <v>65</v>
      </c>
      <c r="I29" s="260" t="s">
        <v>3321</v>
      </c>
      <c r="J29" s="260"/>
      <c r="K29" s="260" t="s">
        <v>3316</v>
      </c>
      <c r="L29" s="260" t="s">
        <v>3323</v>
      </c>
      <c r="M29" s="260"/>
      <c r="N29" s="260" t="s">
        <v>1226</v>
      </c>
      <c r="O29" s="260" t="s">
        <v>76</v>
      </c>
      <c r="P29" s="260">
        <v>1</v>
      </c>
      <c r="Q29" s="260" t="s">
        <v>3324</v>
      </c>
      <c r="R29" s="119" t="s">
        <v>3335</v>
      </c>
      <c r="S29" s="119"/>
      <c r="T29" s="119"/>
      <c r="U29" s="119">
        <v>2</v>
      </c>
      <c r="V29" s="119"/>
      <c r="W29" s="119"/>
      <c r="X29" s="119"/>
      <c r="Y29" s="119"/>
      <c r="Z29" s="119"/>
      <c r="AA29" s="119"/>
      <c r="AB29" s="119"/>
      <c r="AC29" s="119"/>
      <c r="AD29" s="119"/>
      <c r="AE29" s="119"/>
      <c r="AF29" s="119"/>
      <c r="AG29" s="119"/>
      <c r="AH29" s="119"/>
    </row>
    <row r="30" spans="1:34" s="161" customFormat="1" x14ac:dyDescent="0.2">
      <c r="A30" s="118"/>
      <c r="B30" s="260"/>
      <c r="C30" s="119"/>
      <c r="D30" s="119"/>
      <c r="E30" s="119"/>
      <c r="F30" s="119"/>
      <c r="G30" s="119"/>
      <c r="H30" s="147"/>
      <c r="I30" s="260" t="s">
        <v>3306</v>
      </c>
      <c r="J30" s="260" t="s">
        <v>3321</v>
      </c>
      <c r="K30" s="152"/>
      <c r="L30" s="260" t="s">
        <v>3323</v>
      </c>
      <c r="M30" s="260"/>
      <c r="N30" s="260" t="s">
        <v>1230</v>
      </c>
      <c r="O30" s="260" t="s">
        <v>585</v>
      </c>
      <c r="P30" s="260" t="s">
        <v>69</v>
      </c>
      <c r="Q30" s="119"/>
      <c r="R30" s="119"/>
      <c r="S30" s="119"/>
      <c r="T30" s="119"/>
      <c r="U30" s="119">
        <v>2</v>
      </c>
      <c r="V30" s="119"/>
      <c r="W30" s="119"/>
      <c r="X30" s="119"/>
      <c r="Y30" s="119"/>
      <c r="Z30" s="119"/>
      <c r="AA30" s="119"/>
      <c r="AB30" s="119"/>
      <c r="AC30" s="119"/>
      <c r="AD30" s="119"/>
      <c r="AE30" s="119"/>
      <c r="AF30" s="119"/>
      <c r="AG30" s="119"/>
      <c r="AH30" s="119"/>
    </row>
    <row r="31" spans="1:34" s="161" customFormat="1" x14ac:dyDescent="0.2">
      <c r="A31" s="118"/>
      <c r="B31" s="260"/>
      <c r="C31" s="119"/>
      <c r="D31" s="119"/>
      <c r="E31" s="119"/>
      <c r="F31" s="119"/>
      <c r="G31" s="119"/>
      <c r="H31" s="147"/>
      <c r="I31" s="260" t="s">
        <v>3306</v>
      </c>
      <c r="J31" s="260" t="s">
        <v>3321</v>
      </c>
      <c r="K31" s="260"/>
      <c r="L31" s="260" t="s">
        <v>3323</v>
      </c>
      <c r="M31" s="260"/>
      <c r="N31" s="260" t="s">
        <v>1235</v>
      </c>
      <c r="O31" s="260" t="s">
        <v>88</v>
      </c>
      <c r="P31" s="260" t="s">
        <v>69</v>
      </c>
      <c r="Q31" s="119"/>
      <c r="R31" s="119"/>
      <c r="S31" s="119"/>
      <c r="T31" s="119"/>
      <c r="U31" s="119">
        <v>2</v>
      </c>
      <c r="V31" s="119"/>
      <c r="W31" s="119"/>
      <c r="X31" s="119"/>
      <c r="Y31" s="119"/>
      <c r="Z31" s="119"/>
      <c r="AA31" s="119"/>
      <c r="AB31" s="119"/>
      <c r="AC31" s="119"/>
      <c r="AD31" s="119"/>
      <c r="AE31" s="119"/>
      <c r="AF31" s="119"/>
      <c r="AG31" s="119"/>
      <c r="AH31" s="119"/>
    </row>
    <row r="32" spans="1:34" s="158" customFormat="1" x14ac:dyDescent="0.2">
      <c r="A32" s="144" t="s">
        <v>3336</v>
      </c>
      <c r="B32" s="265"/>
      <c r="C32" s="145"/>
      <c r="D32" s="145"/>
      <c r="E32" s="145"/>
      <c r="F32" s="145"/>
      <c r="G32" s="145"/>
      <c r="H32" s="146"/>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row>
    <row r="33" spans="1:34" s="161" customFormat="1" x14ac:dyDescent="0.2">
      <c r="A33" s="118">
        <v>12</v>
      </c>
      <c r="B33" s="267" t="s">
        <v>3337</v>
      </c>
      <c r="C33" s="119"/>
      <c r="D33" s="119" t="s">
        <v>3310</v>
      </c>
      <c r="E33" s="119"/>
      <c r="F33" s="119"/>
      <c r="G33" s="119"/>
      <c r="H33" s="147" t="s">
        <v>65</v>
      </c>
      <c r="I33" s="119" t="s">
        <v>3311</v>
      </c>
      <c r="J33" s="119"/>
      <c r="K33" s="119"/>
      <c r="L33" s="119"/>
      <c r="M33" s="119"/>
      <c r="N33" s="119" t="s">
        <v>1052</v>
      </c>
      <c r="O33" s="119" t="s">
        <v>76</v>
      </c>
      <c r="P33" s="119">
        <v>1</v>
      </c>
      <c r="Q33" s="119" t="s">
        <v>3317</v>
      </c>
      <c r="R33" s="119" t="s">
        <v>3318</v>
      </c>
      <c r="S33" s="119"/>
      <c r="T33" s="119"/>
      <c r="U33" s="119">
        <v>1</v>
      </c>
      <c r="V33" s="119"/>
      <c r="W33" s="119"/>
      <c r="X33" s="119"/>
      <c r="Y33" s="119"/>
      <c r="Z33" s="119"/>
      <c r="AA33" s="119"/>
      <c r="AB33" s="119"/>
      <c r="AC33" s="119"/>
      <c r="AD33" s="119"/>
      <c r="AE33" s="119"/>
      <c r="AF33" s="119"/>
      <c r="AG33" s="119"/>
      <c r="AH33" s="119"/>
    </row>
    <row r="34" spans="1:34" s="161" customFormat="1" x14ac:dyDescent="0.2">
      <c r="A34" s="118"/>
      <c r="B34" s="260"/>
      <c r="C34" s="119"/>
      <c r="D34" s="119"/>
      <c r="E34" s="119"/>
      <c r="F34" s="119"/>
      <c r="G34" s="119"/>
      <c r="H34" s="147"/>
      <c r="I34" s="119" t="s">
        <v>3306</v>
      </c>
      <c r="J34" s="119" t="s">
        <v>3311</v>
      </c>
      <c r="K34" s="119"/>
      <c r="L34" s="119"/>
      <c r="M34" s="119"/>
      <c r="N34" s="119" t="s">
        <v>1034</v>
      </c>
      <c r="O34" s="119" t="s">
        <v>88</v>
      </c>
      <c r="P34" s="119" t="s">
        <v>69</v>
      </c>
      <c r="Q34" s="119"/>
      <c r="R34" s="119"/>
      <c r="S34" s="119"/>
      <c r="T34" s="119"/>
      <c r="U34" s="119">
        <v>1</v>
      </c>
      <c r="V34" s="119"/>
      <c r="W34" s="119"/>
      <c r="X34" s="119"/>
      <c r="Y34" s="119"/>
      <c r="Z34" s="119"/>
      <c r="AA34" s="119"/>
      <c r="AB34" s="119"/>
      <c r="AC34" s="119"/>
      <c r="AD34" s="119"/>
      <c r="AE34" s="119"/>
      <c r="AF34" s="119"/>
      <c r="AG34" s="119"/>
      <c r="AH34" s="119"/>
    </row>
    <row r="35" spans="1:34" s="161" customFormat="1" x14ac:dyDescent="0.2">
      <c r="A35" s="118"/>
      <c r="B35" s="260"/>
      <c r="C35" s="119"/>
      <c r="D35" s="119"/>
      <c r="E35" s="119"/>
      <c r="F35" s="119"/>
      <c r="G35" s="119"/>
      <c r="H35" s="147"/>
      <c r="I35" s="119" t="s">
        <v>3306</v>
      </c>
      <c r="J35" s="119" t="s">
        <v>3311</v>
      </c>
      <c r="K35" s="119"/>
      <c r="L35" s="119"/>
      <c r="M35" s="119"/>
      <c r="N35" s="119" t="s">
        <v>1038</v>
      </c>
      <c r="O35" s="119" t="s">
        <v>88</v>
      </c>
      <c r="P35" s="119" t="s">
        <v>69</v>
      </c>
      <c r="Q35" s="119"/>
      <c r="R35" s="119"/>
      <c r="S35" s="119"/>
      <c r="T35" s="119"/>
      <c r="U35" s="119">
        <v>1</v>
      </c>
      <c r="V35" s="119"/>
      <c r="W35" s="119"/>
      <c r="X35" s="119"/>
      <c r="Y35" s="119"/>
      <c r="Z35" s="119"/>
      <c r="AA35" s="119"/>
      <c r="AB35" s="119"/>
      <c r="AC35" s="119"/>
      <c r="AD35" s="119"/>
      <c r="AE35" s="119"/>
      <c r="AF35" s="119"/>
      <c r="AG35" s="119"/>
      <c r="AH35" s="119"/>
    </row>
    <row r="36" spans="1:34" s="161" customFormat="1" ht="409.5" x14ac:dyDescent="0.2">
      <c r="A36" s="118">
        <v>13</v>
      </c>
      <c r="B36" s="260" t="s">
        <v>3338</v>
      </c>
      <c r="C36" s="119"/>
      <c r="D36" s="119" t="s">
        <v>3339</v>
      </c>
      <c r="E36" s="119"/>
      <c r="F36" s="119"/>
      <c r="G36" s="119"/>
      <c r="H36" s="147" t="s">
        <v>3305</v>
      </c>
      <c r="I36" s="119" t="s">
        <v>3340</v>
      </c>
      <c r="J36" s="149" t="s">
        <v>3341</v>
      </c>
      <c r="K36" s="119"/>
      <c r="L36" s="119"/>
      <c r="M36" s="119"/>
      <c r="N36" s="119" t="s">
        <v>288</v>
      </c>
      <c r="O36" s="119" t="s">
        <v>68</v>
      </c>
      <c r="P36" s="119" t="s">
        <v>69</v>
      </c>
      <c r="Q36" s="119"/>
      <c r="R36" s="119" t="s">
        <v>3339</v>
      </c>
      <c r="S36" s="119"/>
      <c r="T36" s="119"/>
      <c r="U36" s="119">
        <v>2</v>
      </c>
      <c r="V36" s="119"/>
      <c r="W36" s="119"/>
      <c r="X36" s="119"/>
      <c r="Y36" s="119"/>
      <c r="Z36" s="119"/>
      <c r="AA36" s="119"/>
      <c r="AB36" s="119"/>
      <c r="AC36" s="119"/>
      <c r="AD36" s="119"/>
      <c r="AE36" s="119"/>
      <c r="AF36" s="119"/>
      <c r="AG36" s="119"/>
      <c r="AH36" s="119"/>
    </row>
    <row r="37" spans="1:34" s="161" customFormat="1" ht="30" x14ac:dyDescent="0.2">
      <c r="A37" s="118">
        <v>14</v>
      </c>
      <c r="B37" s="267" t="s">
        <v>3342</v>
      </c>
      <c r="C37" s="119"/>
      <c r="D37" s="119" t="s">
        <v>3343</v>
      </c>
      <c r="E37" s="119"/>
      <c r="F37" s="119"/>
      <c r="G37" s="119"/>
      <c r="H37" s="147" t="s">
        <v>65</v>
      </c>
      <c r="I37" s="119" t="s">
        <v>3311</v>
      </c>
      <c r="J37" s="119"/>
      <c r="K37" s="119"/>
      <c r="L37" s="119"/>
      <c r="M37" s="119"/>
      <c r="N37" s="119" t="s">
        <v>1052</v>
      </c>
      <c r="O37" s="119" t="s">
        <v>76</v>
      </c>
      <c r="P37" s="119">
        <v>1</v>
      </c>
      <c r="Q37" s="119" t="s">
        <v>3317</v>
      </c>
      <c r="R37" s="119" t="s">
        <v>3318</v>
      </c>
      <c r="S37" s="119"/>
      <c r="T37" s="119"/>
      <c r="U37" s="119">
        <v>1</v>
      </c>
      <c r="V37" s="119"/>
      <c r="W37" s="119"/>
      <c r="X37" s="119"/>
      <c r="Y37" s="119"/>
      <c r="Z37" s="119"/>
      <c r="AA37" s="119"/>
      <c r="AB37" s="119"/>
      <c r="AC37" s="119"/>
      <c r="AD37" s="119"/>
      <c r="AE37" s="119"/>
      <c r="AF37" s="119"/>
      <c r="AG37" s="119"/>
      <c r="AH37" s="119"/>
    </row>
    <row r="38" spans="1:34" s="161" customFormat="1" ht="30" x14ac:dyDescent="0.2">
      <c r="A38" s="118"/>
      <c r="B38" s="260"/>
      <c r="C38" s="119"/>
      <c r="D38" s="119"/>
      <c r="E38" s="119"/>
      <c r="F38" s="119"/>
      <c r="G38" s="119"/>
      <c r="H38" s="147"/>
      <c r="I38" s="119" t="s">
        <v>3306</v>
      </c>
      <c r="J38" s="119" t="s">
        <v>3311</v>
      </c>
      <c r="K38" s="119"/>
      <c r="L38" s="119"/>
      <c r="M38" s="119"/>
      <c r="N38" s="119" t="s">
        <v>1056</v>
      </c>
      <c r="O38" s="119" t="s">
        <v>76</v>
      </c>
      <c r="P38" s="119" t="s">
        <v>158</v>
      </c>
      <c r="Q38" s="119" t="s">
        <v>3344</v>
      </c>
      <c r="R38" s="119"/>
      <c r="S38" s="119"/>
      <c r="T38" s="119"/>
      <c r="U38" s="119">
        <v>1</v>
      </c>
      <c r="V38" s="119"/>
      <c r="W38" s="119"/>
      <c r="X38" s="119"/>
      <c r="Y38" s="119"/>
      <c r="Z38" s="119"/>
      <c r="AA38" s="119"/>
      <c r="AB38" s="119"/>
      <c r="AC38" s="119"/>
      <c r="AD38" s="119"/>
      <c r="AE38" s="119"/>
      <c r="AF38" s="119"/>
      <c r="AG38" s="119"/>
      <c r="AH38" s="119"/>
    </row>
    <row r="39" spans="1:34" s="161" customFormat="1" x14ac:dyDescent="0.2">
      <c r="A39" s="118"/>
      <c r="B39" s="260"/>
      <c r="C39" s="119"/>
      <c r="D39" s="119"/>
      <c r="E39" s="119"/>
      <c r="F39" s="119"/>
      <c r="G39" s="119"/>
      <c r="H39" s="147"/>
      <c r="I39" s="119" t="s">
        <v>3306</v>
      </c>
      <c r="J39" s="119" t="s">
        <v>3311</v>
      </c>
      <c r="K39" s="119"/>
      <c r="L39" s="119"/>
      <c r="M39" s="119"/>
      <c r="N39" s="119" t="s">
        <v>3345</v>
      </c>
      <c r="O39" s="119" t="s">
        <v>88</v>
      </c>
      <c r="P39" s="119" t="s">
        <v>69</v>
      </c>
      <c r="Q39" s="119"/>
      <c r="R39" s="119"/>
      <c r="S39" s="119"/>
      <c r="T39" s="119"/>
      <c r="U39" s="119">
        <v>1</v>
      </c>
      <c r="V39" s="119"/>
      <c r="W39" s="119"/>
      <c r="X39" s="119"/>
      <c r="Y39" s="119"/>
      <c r="Z39" s="119"/>
      <c r="AA39" s="119"/>
      <c r="AB39" s="119"/>
      <c r="AC39" s="119"/>
      <c r="AD39" s="119"/>
      <c r="AE39" s="119"/>
      <c r="AF39" s="119"/>
      <c r="AG39" s="119"/>
      <c r="AH39" s="119"/>
    </row>
    <row r="40" spans="1:34" s="161" customFormat="1" x14ac:dyDescent="0.2">
      <c r="A40" s="118"/>
      <c r="B40" s="260"/>
      <c r="C40" s="119"/>
      <c r="D40" s="119"/>
      <c r="E40" s="119"/>
      <c r="F40" s="119"/>
      <c r="G40" s="119"/>
      <c r="H40" s="147"/>
      <c r="I40" s="119" t="s">
        <v>3306</v>
      </c>
      <c r="J40" s="119" t="s">
        <v>3311</v>
      </c>
      <c r="K40" s="119"/>
      <c r="L40" s="119"/>
      <c r="M40" s="119"/>
      <c r="N40" s="119" t="s">
        <v>1038</v>
      </c>
      <c r="O40" s="119" t="s">
        <v>88</v>
      </c>
      <c r="P40" s="119" t="s">
        <v>69</v>
      </c>
      <c r="Q40" s="119"/>
      <c r="R40" s="119"/>
      <c r="S40" s="119"/>
      <c r="T40" s="119"/>
      <c r="U40" s="119">
        <v>1</v>
      </c>
      <c r="V40" s="119"/>
      <c r="W40" s="119"/>
      <c r="X40" s="119"/>
      <c r="Y40" s="119"/>
      <c r="Z40" s="119"/>
      <c r="AA40" s="119"/>
      <c r="AB40" s="119"/>
      <c r="AC40" s="119"/>
      <c r="AD40" s="119"/>
      <c r="AE40" s="119"/>
      <c r="AF40" s="119"/>
      <c r="AG40" s="119"/>
      <c r="AH40" s="119"/>
    </row>
    <row r="41" spans="1:34" s="161" customFormat="1" ht="195" x14ac:dyDescent="0.2">
      <c r="A41" s="118">
        <v>15</v>
      </c>
      <c r="B41" s="260" t="s">
        <v>3346</v>
      </c>
      <c r="C41" s="119"/>
      <c r="D41" s="119" t="s">
        <v>3347</v>
      </c>
      <c r="E41" s="119"/>
      <c r="F41" s="119"/>
      <c r="G41" s="119"/>
      <c r="H41" s="147" t="s">
        <v>65</v>
      </c>
      <c r="I41" s="260" t="s">
        <v>3321</v>
      </c>
      <c r="J41" s="260"/>
      <c r="K41" s="260"/>
      <c r="L41" s="260" t="s">
        <v>3323</v>
      </c>
      <c r="M41" s="260"/>
      <c r="N41" s="260" t="s">
        <v>1226</v>
      </c>
      <c r="O41" s="260" t="s">
        <v>76</v>
      </c>
      <c r="P41" s="260">
        <v>1</v>
      </c>
      <c r="Q41" s="260" t="s">
        <v>3324</v>
      </c>
      <c r="R41" s="119" t="s">
        <v>3348</v>
      </c>
      <c r="S41" s="119"/>
      <c r="T41" s="119"/>
      <c r="U41" s="119">
        <v>2</v>
      </c>
      <c r="V41" s="119"/>
      <c r="W41" s="119"/>
      <c r="X41" s="119"/>
      <c r="Y41" s="119"/>
      <c r="Z41" s="119"/>
      <c r="AA41" s="119"/>
      <c r="AB41" s="119"/>
      <c r="AC41" s="119"/>
      <c r="AD41" s="119"/>
      <c r="AE41" s="119"/>
      <c r="AF41" s="119"/>
      <c r="AG41" s="119"/>
      <c r="AH41" s="119"/>
    </row>
    <row r="42" spans="1:34" s="161" customFormat="1" x14ac:dyDescent="0.2">
      <c r="A42" s="118"/>
      <c r="B42" s="260"/>
      <c r="C42" s="119"/>
      <c r="D42" s="119"/>
      <c r="E42" s="119"/>
      <c r="F42" s="119"/>
      <c r="G42" s="119"/>
      <c r="H42" s="147"/>
      <c r="I42" s="260" t="s">
        <v>3306</v>
      </c>
      <c r="J42" s="260" t="s">
        <v>3321</v>
      </c>
      <c r="K42" s="152"/>
      <c r="L42" s="260" t="s">
        <v>3323</v>
      </c>
      <c r="M42" s="260"/>
      <c r="N42" s="260" t="s">
        <v>1230</v>
      </c>
      <c r="O42" s="260" t="s">
        <v>585</v>
      </c>
      <c r="P42" s="260" t="s">
        <v>69</v>
      </c>
      <c r="Q42" s="119"/>
      <c r="R42" s="119"/>
      <c r="S42" s="119"/>
      <c r="T42" s="119"/>
      <c r="U42" s="119">
        <v>2</v>
      </c>
      <c r="V42" s="119"/>
      <c r="W42" s="119"/>
      <c r="X42" s="119"/>
      <c r="Y42" s="119"/>
      <c r="Z42" s="119"/>
      <c r="AA42" s="119"/>
      <c r="AB42" s="119"/>
      <c r="AC42" s="119"/>
      <c r="AD42" s="119"/>
      <c r="AE42" s="119"/>
      <c r="AF42" s="119"/>
      <c r="AG42" s="119"/>
      <c r="AH42" s="119"/>
    </row>
    <row r="43" spans="1:34" s="161" customFormat="1" x14ac:dyDescent="0.2">
      <c r="A43" s="118"/>
      <c r="B43" s="260"/>
      <c r="C43" s="119"/>
      <c r="D43" s="119"/>
      <c r="E43" s="119"/>
      <c r="F43" s="119"/>
      <c r="G43" s="119"/>
      <c r="H43" s="147"/>
      <c r="I43" s="260" t="s">
        <v>3306</v>
      </c>
      <c r="J43" s="260" t="s">
        <v>3321</v>
      </c>
      <c r="K43" s="260"/>
      <c r="L43" s="260" t="s">
        <v>3323</v>
      </c>
      <c r="M43" s="260"/>
      <c r="N43" s="260" t="s">
        <v>1235</v>
      </c>
      <c r="O43" s="260" t="s">
        <v>88</v>
      </c>
      <c r="P43" s="260" t="s">
        <v>69</v>
      </c>
      <c r="Q43" s="119"/>
      <c r="R43" s="119"/>
      <c r="S43" s="119"/>
      <c r="T43" s="119"/>
      <c r="U43" s="119">
        <v>2</v>
      </c>
      <c r="V43" s="119"/>
      <c r="W43" s="119"/>
      <c r="X43" s="119"/>
      <c r="Y43" s="119"/>
      <c r="Z43" s="119"/>
      <c r="AA43" s="119"/>
      <c r="AB43" s="119"/>
      <c r="AC43" s="119"/>
      <c r="AD43" s="119"/>
      <c r="AE43" s="119"/>
      <c r="AF43" s="119"/>
      <c r="AG43" s="119"/>
      <c r="AH43" s="119"/>
    </row>
    <row r="44" spans="1:34" s="158" customFormat="1" x14ac:dyDescent="0.2">
      <c r="A44" s="144" t="s">
        <v>3349</v>
      </c>
      <c r="B44" s="265"/>
      <c r="C44" s="145"/>
      <c r="D44" s="145"/>
      <c r="E44" s="145"/>
      <c r="F44" s="145"/>
      <c r="G44" s="145"/>
      <c r="H44" s="146"/>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row>
    <row r="45" spans="1:34" s="161" customFormat="1" ht="270" x14ac:dyDescent="0.2">
      <c r="A45" s="118">
        <v>16</v>
      </c>
      <c r="B45" s="260" t="s">
        <v>3350</v>
      </c>
      <c r="C45" s="119"/>
      <c r="D45" s="119" t="s">
        <v>3351</v>
      </c>
      <c r="E45" s="119"/>
      <c r="F45" s="119"/>
      <c r="G45" s="119"/>
      <c r="H45" s="147" t="s">
        <v>65</v>
      </c>
      <c r="I45" s="260" t="s">
        <v>3321</v>
      </c>
      <c r="J45" s="177" t="s">
        <v>3352</v>
      </c>
      <c r="K45" s="260"/>
      <c r="L45" s="260" t="s">
        <v>3323</v>
      </c>
      <c r="M45" s="260"/>
      <c r="N45" s="260" t="s">
        <v>1226</v>
      </c>
      <c r="O45" s="260" t="s">
        <v>76</v>
      </c>
      <c r="P45" s="260">
        <v>1</v>
      </c>
      <c r="Q45" s="260" t="s">
        <v>3324</v>
      </c>
      <c r="R45" s="119" t="s">
        <v>3353</v>
      </c>
      <c r="S45" s="119"/>
      <c r="T45" s="119"/>
      <c r="U45" s="119">
        <v>2</v>
      </c>
      <c r="V45" s="119"/>
      <c r="W45" s="119"/>
      <c r="X45" s="119"/>
      <c r="Y45" s="119"/>
      <c r="Z45" s="119"/>
      <c r="AA45" s="119"/>
      <c r="AB45" s="119"/>
      <c r="AC45" s="119"/>
      <c r="AD45" s="119"/>
      <c r="AE45" s="119"/>
      <c r="AF45" s="119"/>
      <c r="AG45" s="119"/>
      <c r="AH45" s="119"/>
    </row>
    <row r="46" spans="1:34" s="161" customFormat="1" x14ac:dyDescent="0.2">
      <c r="A46" s="118"/>
      <c r="B46" s="260"/>
      <c r="C46" s="119"/>
      <c r="D46" s="119"/>
      <c r="E46" s="119"/>
      <c r="F46" s="119"/>
      <c r="G46" s="119"/>
      <c r="H46" s="147"/>
      <c r="I46" s="260" t="s">
        <v>3306</v>
      </c>
      <c r="J46" s="260" t="s">
        <v>3321</v>
      </c>
      <c r="K46" s="152"/>
      <c r="L46" s="260" t="s">
        <v>3323</v>
      </c>
      <c r="M46" s="260"/>
      <c r="N46" s="260" t="s">
        <v>1230</v>
      </c>
      <c r="O46" s="260" t="s">
        <v>585</v>
      </c>
      <c r="P46" s="260" t="s">
        <v>69</v>
      </c>
      <c r="Q46" s="119"/>
      <c r="R46" s="119"/>
      <c r="S46" s="119"/>
      <c r="T46" s="119"/>
      <c r="U46" s="119">
        <v>2</v>
      </c>
      <c r="V46" s="119"/>
      <c r="W46" s="119"/>
      <c r="X46" s="119"/>
      <c r="Y46" s="119"/>
      <c r="Z46" s="119"/>
      <c r="AA46" s="119"/>
      <c r="AB46" s="119"/>
      <c r="AC46" s="119"/>
      <c r="AD46" s="119"/>
      <c r="AE46" s="119"/>
      <c r="AF46" s="119"/>
      <c r="AG46" s="119"/>
      <c r="AH46" s="119"/>
    </row>
    <row r="47" spans="1:34" s="161" customFormat="1" x14ac:dyDescent="0.2">
      <c r="A47" s="118"/>
      <c r="B47" s="260"/>
      <c r="C47" s="119"/>
      <c r="D47" s="119"/>
      <c r="E47" s="119"/>
      <c r="F47" s="119"/>
      <c r="G47" s="119"/>
      <c r="H47" s="147"/>
      <c r="I47" s="260" t="s">
        <v>3306</v>
      </c>
      <c r="J47" s="260" t="s">
        <v>3321</v>
      </c>
      <c r="K47" s="260"/>
      <c r="L47" s="260" t="s">
        <v>3323</v>
      </c>
      <c r="M47" s="260"/>
      <c r="N47" s="260" t="s">
        <v>1235</v>
      </c>
      <c r="O47" s="260" t="s">
        <v>88</v>
      </c>
      <c r="P47" s="260" t="s">
        <v>69</v>
      </c>
      <c r="Q47" s="119"/>
      <c r="R47" s="119"/>
      <c r="S47" s="119"/>
      <c r="T47" s="119"/>
      <c r="U47" s="119">
        <v>2</v>
      </c>
      <c r="V47" s="119"/>
      <c r="W47" s="119"/>
      <c r="X47" s="119"/>
      <c r="Y47" s="119"/>
      <c r="Z47" s="119"/>
      <c r="AA47" s="119"/>
      <c r="AB47" s="119"/>
      <c r="AC47" s="119"/>
      <c r="AD47" s="119"/>
      <c r="AE47" s="119"/>
      <c r="AF47" s="119"/>
      <c r="AG47" s="119"/>
      <c r="AH47" s="119"/>
    </row>
    <row r="48" spans="1:34" s="158" customFormat="1" x14ac:dyDescent="0.2">
      <c r="A48" s="168" t="s">
        <v>3354</v>
      </c>
      <c r="B48" s="269"/>
      <c r="C48" s="169"/>
      <c r="D48" s="169"/>
      <c r="E48" s="169"/>
      <c r="F48" s="169"/>
      <c r="G48" s="169"/>
      <c r="H48" s="170"/>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row>
    <row r="49" spans="1:34" s="175" customFormat="1" ht="60" x14ac:dyDescent="0.2">
      <c r="A49" s="118">
        <v>17</v>
      </c>
      <c r="B49" s="267" t="s">
        <v>3355</v>
      </c>
      <c r="C49" s="119"/>
      <c r="D49" s="119" t="s">
        <v>3356</v>
      </c>
      <c r="E49" s="119"/>
      <c r="F49" s="119"/>
      <c r="G49" s="119"/>
      <c r="H49" s="147" t="s">
        <v>65</v>
      </c>
      <c r="I49" s="175" t="s">
        <v>3311</v>
      </c>
      <c r="L49" s="176"/>
      <c r="M49" s="176"/>
      <c r="N49" s="176" t="s">
        <v>1052</v>
      </c>
      <c r="O49" s="175" t="s">
        <v>76</v>
      </c>
      <c r="P49" s="175">
        <v>1</v>
      </c>
      <c r="Q49" s="175" t="s">
        <v>3317</v>
      </c>
      <c r="R49" s="119" t="s">
        <v>3318</v>
      </c>
      <c r="S49" s="260"/>
      <c r="T49" s="260"/>
      <c r="U49" s="260">
        <v>1</v>
      </c>
      <c r="V49" s="119"/>
      <c r="W49" s="119"/>
      <c r="X49" s="119"/>
      <c r="Y49" s="119"/>
      <c r="Z49" s="119"/>
      <c r="AA49" s="119"/>
      <c r="AB49" s="119"/>
      <c r="AC49" s="119"/>
      <c r="AD49" s="119"/>
      <c r="AE49" s="119"/>
      <c r="AF49" s="119"/>
      <c r="AG49" s="119"/>
      <c r="AH49" s="119"/>
    </row>
    <row r="50" spans="1:34" s="161" customFormat="1" x14ac:dyDescent="0.2">
      <c r="A50" s="171"/>
      <c r="B50" s="270"/>
      <c r="C50" s="172"/>
      <c r="D50" s="172"/>
      <c r="E50" s="172"/>
      <c r="F50" s="172"/>
      <c r="G50" s="172"/>
      <c r="H50" s="173"/>
      <c r="I50" s="270" t="s">
        <v>3306</v>
      </c>
      <c r="J50" s="271" t="s">
        <v>3311</v>
      </c>
      <c r="K50" s="270"/>
      <c r="L50" s="271"/>
      <c r="M50" s="271"/>
      <c r="N50" s="271" t="s">
        <v>1034</v>
      </c>
      <c r="O50" s="270" t="s">
        <v>88</v>
      </c>
      <c r="P50" s="270" t="s">
        <v>69</v>
      </c>
      <c r="Q50" s="270"/>
      <c r="R50" s="174"/>
      <c r="S50" s="270"/>
      <c r="T50" s="270"/>
      <c r="U50" s="270">
        <v>1</v>
      </c>
      <c r="V50" s="172"/>
      <c r="W50" s="172"/>
      <c r="X50" s="172"/>
      <c r="Y50" s="172"/>
      <c r="Z50" s="172"/>
      <c r="AA50" s="172"/>
      <c r="AB50" s="172"/>
      <c r="AC50" s="172"/>
      <c r="AD50" s="172"/>
      <c r="AE50" s="172"/>
      <c r="AF50" s="172"/>
      <c r="AG50" s="172"/>
      <c r="AH50" s="172"/>
    </row>
    <row r="51" spans="1:34" s="161" customFormat="1" x14ac:dyDescent="0.2">
      <c r="A51" s="118"/>
      <c r="B51" s="260"/>
      <c r="C51" s="119"/>
      <c r="D51" s="119"/>
      <c r="E51" s="119"/>
      <c r="F51" s="119"/>
      <c r="G51" s="119"/>
      <c r="H51" s="147"/>
      <c r="I51" s="260" t="s">
        <v>3306</v>
      </c>
      <c r="J51" s="261" t="s">
        <v>3311</v>
      </c>
      <c r="K51" s="260"/>
      <c r="L51" s="261"/>
      <c r="M51" s="261"/>
      <c r="N51" s="261" t="s">
        <v>1038</v>
      </c>
      <c r="O51" s="260" t="s">
        <v>88</v>
      </c>
      <c r="P51" s="260" t="s">
        <v>69</v>
      </c>
      <c r="Q51" s="260"/>
      <c r="R51" s="153"/>
      <c r="S51" s="260"/>
      <c r="T51" s="260"/>
      <c r="U51" s="260">
        <v>1</v>
      </c>
      <c r="V51" s="119"/>
      <c r="W51" s="119"/>
      <c r="X51" s="119"/>
      <c r="Y51" s="119"/>
      <c r="Z51" s="119"/>
      <c r="AA51" s="119"/>
      <c r="AB51" s="119"/>
      <c r="AC51" s="119"/>
      <c r="AD51" s="119"/>
      <c r="AE51" s="119"/>
      <c r="AF51" s="119"/>
      <c r="AG51" s="119"/>
      <c r="AH51" s="119"/>
    </row>
    <row r="52" spans="1:34" s="161" customFormat="1" ht="45" x14ac:dyDescent="0.2">
      <c r="A52" s="171"/>
      <c r="B52" s="270"/>
      <c r="C52" s="172"/>
      <c r="D52" s="172"/>
      <c r="E52" s="172"/>
      <c r="F52" s="172"/>
      <c r="G52" s="172"/>
      <c r="H52" s="173"/>
      <c r="I52" s="260" t="s">
        <v>3357</v>
      </c>
      <c r="J52" s="261"/>
      <c r="K52" s="260"/>
      <c r="L52" s="261" t="s">
        <v>696</v>
      </c>
      <c r="M52" s="261"/>
      <c r="N52" s="261" t="s">
        <v>1008</v>
      </c>
      <c r="O52" s="260" t="s">
        <v>76</v>
      </c>
      <c r="P52" s="260" t="s">
        <v>69</v>
      </c>
      <c r="Q52" s="260" t="s">
        <v>3358</v>
      </c>
      <c r="R52" s="153" t="s">
        <v>3359</v>
      </c>
      <c r="S52" s="260"/>
      <c r="T52" s="260"/>
      <c r="U52" s="260"/>
      <c r="V52" s="172"/>
      <c r="W52" s="172"/>
      <c r="X52" s="172"/>
      <c r="Y52" s="172"/>
      <c r="Z52" s="172"/>
      <c r="AA52" s="172"/>
      <c r="AB52" s="172"/>
      <c r="AC52" s="172"/>
      <c r="AD52" s="172"/>
      <c r="AE52" s="172"/>
      <c r="AF52" s="172"/>
      <c r="AG52" s="172"/>
      <c r="AH52" s="172"/>
    </row>
    <row r="53" spans="1:34" s="161" customFormat="1" x14ac:dyDescent="0.2">
      <c r="A53" s="171"/>
      <c r="B53" s="270"/>
      <c r="C53" s="172"/>
      <c r="D53" s="172"/>
      <c r="E53" s="172"/>
      <c r="F53" s="172"/>
      <c r="G53" s="172"/>
      <c r="H53" s="173"/>
      <c r="I53" s="260" t="s">
        <v>3306</v>
      </c>
      <c r="J53" s="260" t="s">
        <v>3357</v>
      </c>
      <c r="K53" s="260"/>
      <c r="L53" s="261"/>
      <c r="M53" s="261"/>
      <c r="N53" s="261" t="s">
        <v>706</v>
      </c>
      <c r="O53" s="260" t="s">
        <v>88</v>
      </c>
      <c r="P53" s="260">
        <v>1</v>
      </c>
      <c r="Q53" s="260"/>
      <c r="R53" s="153"/>
      <c r="S53" s="260"/>
      <c r="T53" s="260"/>
      <c r="U53" s="260"/>
      <c r="V53" s="172"/>
      <c r="W53" s="172"/>
      <c r="X53" s="172"/>
      <c r="Y53" s="172"/>
      <c r="Z53" s="172"/>
      <c r="AA53" s="172"/>
      <c r="AB53" s="172"/>
      <c r="AC53" s="172"/>
      <c r="AD53" s="172"/>
      <c r="AE53" s="172"/>
      <c r="AF53" s="172"/>
      <c r="AG53" s="172"/>
      <c r="AH53" s="172"/>
    </row>
    <row r="54" spans="1:34" s="161" customFormat="1" ht="30" x14ac:dyDescent="0.2">
      <c r="A54" s="171">
        <v>18</v>
      </c>
      <c r="B54" s="272" t="s">
        <v>3360</v>
      </c>
      <c r="C54" s="172"/>
      <c r="D54" s="172" t="s">
        <v>3361</v>
      </c>
      <c r="E54" s="172"/>
      <c r="F54" s="172"/>
      <c r="G54" s="172"/>
      <c r="H54" s="173" t="s">
        <v>3305</v>
      </c>
      <c r="I54" s="175" t="s">
        <v>3311</v>
      </c>
      <c r="J54" s="176"/>
      <c r="K54" s="175"/>
      <c r="L54" s="176"/>
      <c r="M54" s="176"/>
      <c r="N54" s="176" t="s">
        <v>1052</v>
      </c>
      <c r="O54" s="175" t="s">
        <v>76</v>
      </c>
      <c r="P54" s="175">
        <v>1</v>
      </c>
      <c r="Q54" s="175" t="s">
        <v>3317</v>
      </c>
      <c r="R54" s="119" t="s">
        <v>3318</v>
      </c>
      <c r="S54" s="260"/>
      <c r="T54" s="260"/>
      <c r="U54" s="260">
        <v>1</v>
      </c>
      <c r="V54" s="172"/>
      <c r="W54" s="172"/>
      <c r="X54" s="172"/>
      <c r="Y54" s="172"/>
      <c r="Z54" s="172"/>
      <c r="AA54" s="172"/>
      <c r="AB54" s="172"/>
      <c r="AC54" s="172"/>
      <c r="AD54" s="172"/>
      <c r="AE54" s="172"/>
      <c r="AF54" s="172"/>
      <c r="AG54" s="172"/>
      <c r="AH54" s="172"/>
    </row>
    <row r="55" spans="1:34" s="161" customFormat="1" x14ac:dyDescent="0.2">
      <c r="A55" s="171"/>
      <c r="B55" s="270"/>
      <c r="C55" s="172"/>
      <c r="D55" s="172"/>
      <c r="E55" s="172"/>
      <c r="F55" s="172"/>
      <c r="G55" s="172"/>
      <c r="H55" s="173"/>
      <c r="I55" s="270" t="s">
        <v>3306</v>
      </c>
      <c r="J55" s="271" t="s">
        <v>3311</v>
      </c>
      <c r="K55" s="270"/>
      <c r="L55" s="271"/>
      <c r="M55" s="271"/>
      <c r="N55" s="271" t="s">
        <v>1034</v>
      </c>
      <c r="O55" s="270" t="s">
        <v>88</v>
      </c>
      <c r="P55" s="270" t="s">
        <v>69</v>
      </c>
      <c r="Q55" s="270"/>
      <c r="R55" s="174"/>
      <c r="S55" s="270"/>
      <c r="T55" s="270"/>
      <c r="U55" s="270">
        <v>1</v>
      </c>
      <c r="V55" s="172"/>
      <c r="W55" s="172"/>
      <c r="X55" s="172"/>
      <c r="Y55" s="172"/>
      <c r="Z55" s="172"/>
      <c r="AA55" s="172"/>
      <c r="AB55" s="172"/>
      <c r="AC55" s="172"/>
      <c r="AD55" s="172"/>
      <c r="AE55" s="172"/>
      <c r="AF55" s="172"/>
      <c r="AG55" s="172"/>
      <c r="AH55" s="172"/>
    </row>
    <row r="56" spans="1:34" s="161" customFormat="1" x14ac:dyDescent="0.2">
      <c r="A56" s="118"/>
      <c r="B56" s="260"/>
      <c r="C56" s="119"/>
      <c r="D56" s="119"/>
      <c r="E56" s="119"/>
      <c r="F56" s="119"/>
      <c r="G56" s="119"/>
      <c r="H56" s="147"/>
      <c r="I56" s="260" t="s">
        <v>3306</v>
      </c>
      <c r="J56" s="261" t="s">
        <v>3311</v>
      </c>
      <c r="K56" s="260"/>
      <c r="L56" s="261"/>
      <c r="M56" s="261"/>
      <c r="N56" s="261" t="s">
        <v>1038</v>
      </c>
      <c r="O56" s="260" t="s">
        <v>88</v>
      </c>
      <c r="P56" s="260" t="s">
        <v>69</v>
      </c>
      <c r="Q56" s="260"/>
      <c r="R56" s="153"/>
      <c r="S56" s="260"/>
      <c r="T56" s="260"/>
      <c r="U56" s="260">
        <v>1</v>
      </c>
      <c r="V56" s="119"/>
      <c r="W56" s="119"/>
      <c r="X56" s="119"/>
      <c r="Y56" s="119"/>
      <c r="Z56" s="119"/>
      <c r="AA56" s="119"/>
      <c r="AB56" s="119"/>
      <c r="AC56" s="119"/>
      <c r="AD56" s="119"/>
      <c r="AE56" s="119"/>
      <c r="AF56" s="119"/>
      <c r="AG56" s="119"/>
      <c r="AH56" s="119"/>
    </row>
    <row r="57" spans="1:34" s="161" customFormat="1" ht="30" x14ac:dyDescent="0.2">
      <c r="A57" s="118"/>
      <c r="B57" s="260"/>
      <c r="C57" s="119"/>
      <c r="D57" s="119"/>
      <c r="E57" s="119"/>
      <c r="F57" s="119"/>
      <c r="G57" s="119"/>
      <c r="H57" s="147"/>
      <c r="I57" s="260" t="s">
        <v>3306</v>
      </c>
      <c r="J57" s="260" t="s">
        <v>3311</v>
      </c>
      <c r="K57" s="260"/>
      <c r="L57" s="260" t="s">
        <v>3362</v>
      </c>
      <c r="M57" s="260" t="s">
        <v>3340</v>
      </c>
      <c r="N57" s="119" t="s">
        <v>288</v>
      </c>
      <c r="O57" s="260" t="s">
        <v>285</v>
      </c>
      <c r="P57" s="260" t="s">
        <v>158</v>
      </c>
      <c r="Q57" s="260"/>
      <c r="R57" s="260"/>
      <c r="S57" s="148"/>
      <c r="T57" s="260"/>
      <c r="U57" s="260">
        <v>1</v>
      </c>
      <c r="V57" s="119"/>
      <c r="W57" s="119"/>
      <c r="X57" s="119"/>
      <c r="Y57" s="119"/>
      <c r="Z57" s="119"/>
      <c r="AA57" s="119"/>
      <c r="AB57" s="119"/>
      <c r="AC57" s="119"/>
      <c r="AD57" s="119"/>
      <c r="AE57" s="119"/>
      <c r="AF57" s="119"/>
      <c r="AG57" s="119"/>
      <c r="AH57" s="119"/>
    </row>
    <row r="58" spans="1:34" s="161" customFormat="1" ht="60" x14ac:dyDescent="0.2">
      <c r="A58" s="118">
        <v>19</v>
      </c>
      <c r="B58" s="260" t="s">
        <v>3363</v>
      </c>
      <c r="C58" s="119"/>
      <c r="D58" s="119" t="s">
        <v>3310</v>
      </c>
      <c r="E58" s="119"/>
      <c r="F58" s="119"/>
      <c r="G58" s="119"/>
      <c r="H58" s="147" t="s">
        <v>3305</v>
      </c>
      <c r="I58" s="149" t="s">
        <v>3364</v>
      </c>
      <c r="J58" s="260"/>
      <c r="K58" s="260"/>
      <c r="L58" s="260"/>
      <c r="M58" s="261"/>
      <c r="N58" s="260"/>
      <c r="O58" s="260"/>
      <c r="P58" s="260"/>
      <c r="Q58" s="260"/>
      <c r="R58" s="266"/>
      <c r="S58" s="260"/>
      <c r="T58" s="260"/>
      <c r="U58" s="260"/>
      <c r="V58" s="119"/>
      <c r="W58" s="119"/>
      <c r="X58" s="119"/>
      <c r="Y58" s="119"/>
      <c r="Z58" s="119"/>
      <c r="AA58" s="119"/>
      <c r="AB58" s="119"/>
      <c r="AC58" s="119"/>
      <c r="AD58" s="119"/>
      <c r="AE58" s="119"/>
      <c r="AF58" s="119"/>
      <c r="AG58" s="119"/>
      <c r="AH58" s="119"/>
    </row>
    <row r="59" spans="1:34" s="158" customFormat="1" x14ac:dyDescent="0.2">
      <c r="A59" s="144" t="s">
        <v>3365</v>
      </c>
      <c r="B59" s="265"/>
      <c r="C59" s="145"/>
      <c r="D59" s="145"/>
      <c r="E59" s="145"/>
      <c r="F59" s="145"/>
      <c r="G59" s="145"/>
      <c r="H59" s="146"/>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row>
    <row r="60" spans="1:34" s="161" customFormat="1" ht="180" x14ac:dyDescent="0.2">
      <c r="A60" s="118">
        <v>20</v>
      </c>
      <c r="B60" s="260" t="s">
        <v>3366</v>
      </c>
      <c r="C60" s="119"/>
      <c r="D60" s="119" t="s">
        <v>3334</v>
      </c>
      <c r="E60" s="119"/>
      <c r="F60" s="119"/>
      <c r="G60" s="119"/>
      <c r="H60" s="147" t="s">
        <v>3305</v>
      </c>
      <c r="I60" s="260" t="s">
        <v>3321</v>
      </c>
      <c r="J60" s="261"/>
      <c r="K60" s="260" t="s">
        <v>3367</v>
      </c>
      <c r="L60" s="260" t="s">
        <v>3323</v>
      </c>
      <c r="M60" s="261"/>
      <c r="N60" s="260" t="s">
        <v>1226</v>
      </c>
      <c r="O60" s="260" t="s">
        <v>76</v>
      </c>
      <c r="P60" s="260">
        <v>1</v>
      </c>
      <c r="Q60" s="260" t="s">
        <v>3324</v>
      </c>
      <c r="R60" s="119" t="s">
        <v>3335</v>
      </c>
      <c r="S60" s="119"/>
      <c r="T60" s="119"/>
      <c r="U60" s="119">
        <v>2</v>
      </c>
      <c r="V60" s="119"/>
      <c r="W60" s="119"/>
      <c r="X60" s="119"/>
      <c r="Y60" s="119"/>
      <c r="Z60" s="119"/>
      <c r="AA60" s="119"/>
      <c r="AB60" s="119"/>
      <c r="AC60" s="119"/>
      <c r="AD60" s="119"/>
      <c r="AE60" s="119"/>
      <c r="AF60" s="119"/>
      <c r="AG60" s="119"/>
      <c r="AH60" s="119"/>
    </row>
    <row r="61" spans="1:34" s="161" customFormat="1" x14ac:dyDescent="0.2">
      <c r="A61" s="118"/>
      <c r="B61" s="260"/>
      <c r="C61" s="119"/>
      <c r="D61" s="119"/>
      <c r="E61" s="119"/>
      <c r="F61" s="119"/>
      <c r="G61" s="119"/>
      <c r="H61" s="147"/>
      <c r="I61" s="260" t="s">
        <v>3306</v>
      </c>
      <c r="J61" s="261" t="s">
        <v>3321</v>
      </c>
      <c r="K61" s="152"/>
      <c r="L61" s="260" t="s">
        <v>3323</v>
      </c>
      <c r="M61" s="260"/>
      <c r="N61" s="260" t="s">
        <v>1230</v>
      </c>
      <c r="O61" s="260" t="s">
        <v>585</v>
      </c>
      <c r="P61" s="260" t="s">
        <v>69</v>
      </c>
      <c r="Q61" s="119"/>
      <c r="R61" s="119"/>
      <c r="S61" s="119"/>
      <c r="T61" s="119"/>
      <c r="U61" s="119">
        <v>2</v>
      </c>
      <c r="V61" s="119"/>
      <c r="W61" s="119"/>
      <c r="X61" s="119"/>
      <c r="Y61" s="119"/>
      <c r="Z61" s="119"/>
      <c r="AA61" s="119"/>
      <c r="AB61" s="119"/>
      <c r="AC61" s="119"/>
      <c r="AD61" s="119"/>
      <c r="AE61" s="119"/>
      <c r="AF61" s="119"/>
      <c r="AG61" s="119"/>
      <c r="AH61" s="119"/>
    </row>
    <row r="62" spans="1:34" s="161" customFormat="1" x14ac:dyDescent="0.2">
      <c r="A62" s="118"/>
      <c r="B62" s="260"/>
      <c r="C62" s="119"/>
      <c r="D62" s="119"/>
      <c r="E62" s="119"/>
      <c r="F62" s="119"/>
      <c r="G62" s="119"/>
      <c r="H62" s="147"/>
      <c r="I62" s="260" t="s">
        <v>3306</v>
      </c>
      <c r="J62" s="261" t="s">
        <v>3321</v>
      </c>
      <c r="K62" s="260"/>
      <c r="L62" s="260" t="s">
        <v>3323</v>
      </c>
      <c r="M62" s="260"/>
      <c r="N62" s="260" t="s">
        <v>1235</v>
      </c>
      <c r="O62" s="260" t="s">
        <v>88</v>
      </c>
      <c r="P62" s="260" t="s">
        <v>69</v>
      </c>
      <c r="Q62" s="119"/>
      <c r="R62" s="119"/>
      <c r="S62" s="119"/>
      <c r="T62" s="119"/>
      <c r="U62" s="119">
        <v>2</v>
      </c>
      <c r="V62" s="119"/>
      <c r="W62" s="119"/>
      <c r="X62" s="119"/>
      <c r="Y62" s="119"/>
      <c r="Z62" s="119"/>
      <c r="AA62" s="119"/>
      <c r="AB62" s="119"/>
      <c r="AC62" s="119"/>
      <c r="AD62" s="119"/>
      <c r="AE62" s="119"/>
      <c r="AF62" s="119"/>
      <c r="AG62" s="119"/>
      <c r="AH62" s="119"/>
    </row>
    <row r="63" spans="1:34" s="161" customFormat="1" ht="180" x14ac:dyDescent="0.2">
      <c r="A63" s="118">
        <v>21</v>
      </c>
      <c r="B63" s="260" t="s">
        <v>3368</v>
      </c>
      <c r="C63" s="119"/>
      <c r="D63" s="119" t="s">
        <v>3334</v>
      </c>
      <c r="E63" s="119"/>
      <c r="F63" s="119"/>
      <c r="G63" s="119"/>
      <c r="H63" s="147" t="s">
        <v>65</v>
      </c>
      <c r="I63" s="260" t="s">
        <v>3321</v>
      </c>
      <c r="J63" s="261"/>
      <c r="K63" s="260" t="s">
        <v>3369</v>
      </c>
      <c r="L63" s="260" t="s">
        <v>3323</v>
      </c>
      <c r="M63" s="261"/>
      <c r="N63" s="260" t="s">
        <v>1226</v>
      </c>
      <c r="O63" s="260" t="s">
        <v>76</v>
      </c>
      <c r="P63" s="260">
        <v>1</v>
      </c>
      <c r="Q63" s="260" t="s">
        <v>3324</v>
      </c>
      <c r="R63" s="119" t="s">
        <v>3335</v>
      </c>
      <c r="S63" s="119"/>
      <c r="T63" s="119"/>
      <c r="U63" s="119">
        <v>2</v>
      </c>
      <c r="V63" s="119"/>
      <c r="W63" s="119"/>
      <c r="X63" s="119"/>
      <c r="Y63" s="119"/>
      <c r="Z63" s="119"/>
      <c r="AA63" s="119"/>
      <c r="AB63" s="119"/>
      <c r="AC63" s="119"/>
      <c r="AD63" s="119"/>
      <c r="AE63" s="119"/>
      <c r="AF63" s="119"/>
      <c r="AG63" s="119"/>
      <c r="AH63" s="119"/>
    </row>
    <row r="64" spans="1:34" s="161" customFormat="1" x14ac:dyDescent="0.2">
      <c r="A64" s="118"/>
      <c r="B64" s="260"/>
      <c r="C64" s="119"/>
      <c r="D64" s="119"/>
      <c r="E64" s="119"/>
      <c r="F64" s="119"/>
      <c r="G64" s="119"/>
      <c r="H64" s="147"/>
      <c r="I64" s="260" t="s">
        <v>3306</v>
      </c>
      <c r="J64" s="261" t="s">
        <v>3321</v>
      </c>
      <c r="K64" s="152"/>
      <c r="L64" s="260" t="s">
        <v>3323</v>
      </c>
      <c r="M64" s="260"/>
      <c r="N64" s="260" t="s">
        <v>1230</v>
      </c>
      <c r="O64" s="260" t="s">
        <v>585</v>
      </c>
      <c r="P64" s="260" t="s">
        <v>69</v>
      </c>
      <c r="Q64" s="119"/>
      <c r="R64" s="119"/>
      <c r="S64" s="119"/>
      <c r="T64" s="119"/>
      <c r="U64" s="119">
        <v>2</v>
      </c>
      <c r="V64" s="119"/>
      <c r="W64" s="119"/>
      <c r="X64" s="119"/>
      <c r="Y64" s="119"/>
      <c r="Z64" s="119"/>
      <c r="AA64" s="119"/>
      <c r="AB64" s="119"/>
      <c r="AC64" s="119"/>
      <c r="AD64" s="119"/>
      <c r="AE64" s="119"/>
      <c r="AF64" s="119"/>
      <c r="AG64" s="119"/>
      <c r="AH64" s="119"/>
    </row>
    <row r="65" spans="1:34" s="161" customFormat="1" x14ac:dyDescent="0.2">
      <c r="A65" s="118"/>
      <c r="B65" s="260"/>
      <c r="C65" s="119"/>
      <c r="D65" s="119"/>
      <c r="E65" s="119"/>
      <c r="F65" s="119"/>
      <c r="G65" s="119"/>
      <c r="H65" s="147"/>
      <c r="I65" s="260" t="s">
        <v>3306</v>
      </c>
      <c r="J65" s="261" t="s">
        <v>3321</v>
      </c>
      <c r="K65" s="260"/>
      <c r="L65" s="260" t="s">
        <v>3323</v>
      </c>
      <c r="M65" s="260"/>
      <c r="N65" s="260" t="s">
        <v>1235</v>
      </c>
      <c r="O65" s="260" t="s">
        <v>88</v>
      </c>
      <c r="P65" s="260" t="s">
        <v>69</v>
      </c>
      <c r="Q65" s="119"/>
      <c r="R65" s="119"/>
      <c r="S65" s="119"/>
      <c r="T65" s="119"/>
      <c r="U65" s="119">
        <v>2</v>
      </c>
      <c r="V65" s="119"/>
      <c r="W65" s="119"/>
      <c r="X65" s="119"/>
      <c r="Y65" s="119"/>
      <c r="Z65" s="119"/>
      <c r="AA65" s="119"/>
      <c r="AB65" s="119"/>
      <c r="AC65" s="119"/>
      <c r="AD65" s="119"/>
      <c r="AE65" s="119"/>
      <c r="AF65" s="119"/>
      <c r="AG65" s="119"/>
      <c r="AH65" s="119"/>
    </row>
    <row r="66" spans="1:34" s="161" customFormat="1" ht="101.45" customHeight="1" x14ac:dyDescent="0.2">
      <c r="A66" s="118">
        <v>22</v>
      </c>
      <c r="B66" s="260" t="s">
        <v>3370</v>
      </c>
      <c r="C66" s="119"/>
      <c r="D66" s="119"/>
      <c r="E66" s="119"/>
      <c r="F66" s="119"/>
      <c r="G66" s="119"/>
      <c r="H66" s="147" t="s">
        <v>3305</v>
      </c>
      <c r="I66" s="260" t="s">
        <v>3321</v>
      </c>
      <c r="J66" s="261"/>
      <c r="K66" s="260" t="s">
        <v>3369</v>
      </c>
      <c r="L66" s="260" t="s">
        <v>3323</v>
      </c>
      <c r="M66" s="261"/>
      <c r="N66" s="260" t="s">
        <v>1226</v>
      </c>
      <c r="O66" s="260" t="s">
        <v>76</v>
      </c>
      <c r="P66" s="260">
        <v>1</v>
      </c>
      <c r="Q66" s="260" t="s">
        <v>3324</v>
      </c>
      <c r="R66" s="119" t="s">
        <v>3371</v>
      </c>
      <c r="S66" s="119"/>
      <c r="T66" s="119"/>
      <c r="U66" s="119">
        <v>2</v>
      </c>
      <c r="V66" s="119"/>
      <c r="W66" s="119"/>
      <c r="X66" s="119"/>
      <c r="Y66" s="119"/>
      <c r="Z66" s="119"/>
      <c r="AA66" s="119"/>
      <c r="AB66" s="119"/>
      <c r="AC66" s="119"/>
      <c r="AD66" s="119"/>
      <c r="AE66" s="119"/>
      <c r="AF66" s="119"/>
      <c r="AG66" s="119"/>
      <c r="AH66" s="119"/>
    </row>
    <row r="67" spans="1:34" s="161" customFormat="1" x14ac:dyDescent="0.2">
      <c r="A67" s="118"/>
      <c r="B67" s="260"/>
      <c r="C67" s="119"/>
      <c r="D67" s="119"/>
      <c r="E67" s="119"/>
      <c r="F67" s="119"/>
      <c r="G67" s="119"/>
      <c r="H67" s="147"/>
      <c r="I67" s="260" t="s">
        <v>3306</v>
      </c>
      <c r="J67" s="261" t="s">
        <v>3321</v>
      </c>
      <c r="K67" s="152"/>
      <c r="L67" s="260" t="s">
        <v>3323</v>
      </c>
      <c r="M67" s="261"/>
      <c r="N67" s="260" t="s">
        <v>1230</v>
      </c>
      <c r="O67" s="260" t="s">
        <v>585</v>
      </c>
      <c r="P67" s="260" t="s">
        <v>69</v>
      </c>
      <c r="Q67" s="119"/>
      <c r="R67" s="119"/>
      <c r="S67" s="119"/>
      <c r="T67" s="119"/>
      <c r="U67" s="119">
        <v>2</v>
      </c>
      <c r="V67" s="119"/>
      <c r="W67" s="119"/>
      <c r="X67" s="119"/>
      <c r="Y67" s="119"/>
      <c r="Z67" s="119"/>
      <c r="AA67" s="119"/>
      <c r="AB67" s="119"/>
      <c r="AC67" s="119"/>
      <c r="AD67" s="119"/>
      <c r="AE67" s="119"/>
      <c r="AF67" s="119"/>
      <c r="AG67" s="119"/>
      <c r="AH67" s="119"/>
    </row>
    <row r="68" spans="1:34" s="161" customFormat="1" x14ac:dyDescent="0.2">
      <c r="A68" s="118"/>
      <c r="B68" s="260"/>
      <c r="C68" s="119"/>
      <c r="D68" s="119"/>
      <c r="E68" s="119"/>
      <c r="F68" s="119"/>
      <c r="G68" s="119"/>
      <c r="H68" s="147"/>
      <c r="I68" s="260" t="s">
        <v>3306</v>
      </c>
      <c r="J68" s="261" t="s">
        <v>3321</v>
      </c>
      <c r="K68" s="260"/>
      <c r="L68" s="260" t="s">
        <v>3323</v>
      </c>
      <c r="M68" s="261"/>
      <c r="N68" s="260" t="s">
        <v>1235</v>
      </c>
      <c r="O68" s="260" t="s">
        <v>88</v>
      </c>
      <c r="P68" s="260" t="s">
        <v>69</v>
      </c>
      <c r="Q68" s="119"/>
      <c r="R68" s="119"/>
      <c r="S68" s="119"/>
      <c r="T68" s="119"/>
      <c r="U68" s="119">
        <v>2</v>
      </c>
      <c r="V68" s="119"/>
      <c r="W68" s="119"/>
      <c r="X68" s="119"/>
      <c r="Y68" s="119"/>
      <c r="Z68" s="119"/>
      <c r="AA68" s="119"/>
      <c r="AB68" s="119"/>
      <c r="AC68" s="119"/>
      <c r="AD68" s="119"/>
      <c r="AE68" s="119"/>
      <c r="AF68" s="119"/>
      <c r="AG68" s="119"/>
      <c r="AH68" s="119"/>
    </row>
    <row r="69" spans="1:34" s="161" customFormat="1" ht="102" customHeight="1" x14ac:dyDescent="0.2">
      <c r="A69" s="118">
        <v>23</v>
      </c>
      <c r="B69" s="260" t="s">
        <v>3372</v>
      </c>
      <c r="C69" s="119"/>
      <c r="D69" s="119"/>
      <c r="E69" s="119"/>
      <c r="F69" s="119"/>
      <c r="G69" s="119"/>
      <c r="H69" s="147" t="s">
        <v>3305</v>
      </c>
      <c r="I69" s="260" t="s">
        <v>3321</v>
      </c>
      <c r="J69" s="261"/>
      <c r="K69" s="260" t="s">
        <v>3369</v>
      </c>
      <c r="L69" s="260" t="s">
        <v>3323</v>
      </c>
      <c r="M69" s="261"/>
      <c r="N69" s="260" t="s">
        <v>1226</v>
      </c>
      <c r="O69" s="260" t="s">
        <v>76</v>
      </c>
      <c r="P69" s="260">
        <v>1</v>
      </c>
      <c r="Q69" s="260" t="s">
        <v>3324</v>
      </c>
      <c r="R69" s="119" t="s">
        <v>3371</v>
      </c>
      <c r="S69" s="119"/>
      <c r="T69" s="119"/>
      <c r="U69" s="119">
        <v>2</v>
      </c>
      <c r="V69" s="119"/>
      <c r="W69" s="119"/>
      <c r="X69" s="119"/>
      <c r="Y69" s="119"/>
      <c r="Z69" s="119"/>
      <c r="AA69" s="119"/>
      <c r="AB69" s="119"/>
      <c r="AC69" s="119"/>
      <c r="AD69" s="119"/>
      <c r="AE69" s="119"/>
      <c r="AF69" s="119"/>
      <c r="AG69" s="119"/>
      <c r="AH69" s="119"/>
    </row>
    <row r="70" spans="1:34" s="161" customFormat="1" x14ac:dyDescent="0.2">
      <c r="A70" s="118"/>
      <c r="B70" s="260"/>
      <c r="C70" s="119"/>
      <c r="D70" s="119"/>
      <c r="E70" s="119"/>
      <c r="F70" s="119"/>
      <c r="G70" s="119"/>
      <c r="H70" s="147"/>
      <c r="I70" s="260" t="s">
        <v>3306</v>
      </c>
      <c r="J70" s="260" t="s">
        <v>3321</v>
      </c>
      <c r="K70" s="152"/>
      <c r="L70" s="260" t="s">
        <v>3323</v>
      </c>
      <c r="M70" s="260"/>
      <c r="N70" s="260" t="s">
        <v>1230</v>
      </c>
      <c r="O70" s="260" t="s">
        <v>585</v>
      </c>
      <c r="P70" s="260" t="s">
        <v>69</v>
      </c>
      <c r="Q70" s="119"/>
      <c r="R70" s="119"/>
      <c r="S70" s="119"/>
      <c r="T70" s="119"/>
      <c r="U70" s="119">
        <v>2</v>
      </c>
      <c r="V70" s="119"/>
      <c r="W70" s="119"/>
      <c r="X70" s="119"/>
      <c r="Y70" s="119"/>
      <c r="Z70" s="119"/>
      <c r="AA70" s="119"/>
      <c r="AB70" s="119"/>
      <c r="AC70" s="119"/>
      <c r="AD70" s="119"/>
      <c r="AE70" s="119"/>
      <c r="AF70" s="119"/>
      <c r="AG70" s="119"/>
      <c r="AH70" s="119"/>
    </row>
    <row r="71" spans="1:34" s="161" customFormat="1" x14ac:dyDescent="0.2">
      <c r="A71" s="118"/>
      <c r="B71" s="260"/>
      <c r="C71" s="119"/>
      <c r="D71" s="119"/>
      <c r="E71" s="119"/>
      <c r="F71" s="119"/>
      <c r="G71" s="119"/>
      <c r="H71" s="147"/>
      <c r="I71" s="260" t="s">
        <v>3306</v>
      </c>
      <c r="J71" s="260" t="s">
        <v>3321</v>
      </c>
      <c r="K71" s="260"/>
      <c r="L71" s="260" t="s">
        <v>3323</v>
      </c>
      <c r="M71" s="260"/>
      <c r="N71" s="260" t="s">
        <v>1235</v>
      </c>
      <c r="O71" s="260" t="s">
        <v>88</v>
      </c>
      <c r="P71" s="260" t="s">
        <v>69</v>
      </c>
      <c r="Q71" s="119"/>
      <c r="R71" s="119"/>
      <c r="S71" s="119"/>
      <c r="T71" s="119"/>
      <c r="U71" s="119">
        <v>2</v>
      </c>
      <c r="V71" s="119"/>
      <c r="W71" s="119"/>
      <c r="X71" s="119"/>
      <c r="Y71" s="119"/>
      <c r="Z71" s="119"/>
      <c r="AA71" s="119"/>
      <c r="AB71" s="119"/>
      <c r="AC71" s="119"/>
      <c r="AD71" s="119"/>
      <c r="AE71" s="119"/>
      <c r="AF71" s="119"/>
      <c r="AG71" s="119"/>
      <c r="AH71" s="119"/>
    </row>
    <row r="72" spans="1:34" s="161" customFormat="1" ht="105" x14ac:dyDescent="0.2">
      <c r="A72" s="118">
        <v>24</v>
      </c>
      <c r="B72" s="267" t="s">
        <v>3373</v>
      </c>
      <c r="C72" s="119"/>
      <c r="D72" s="119" t="s">
        <v>3310</v>
      </c>
      <c r="E72" s="119"/>
      <c r="F72" s="119"/>
      <c r="G72" s="119"/>
      <c r="H72" s="147" t="s">
        <v>3305</v>
      </c>
      <c r="I72" s="119" t="s">
        <v>3311</v>
      </c>
      <c r="J72" s="163" t="s">
        <v>3374</v>
      </c>
      <c r="K72" s="119" t="s">
        <v>3375</v>
      </c>
      <c r="L72" s="119"/>
      <c r="M72" s="167"/>
      <c r="N72" s="119" t="s">
        <v>1052</v>
      </c>
      <c r="O72" s="119" t="s">
        <v>76</v>
      </c>
      <c r="P72" s="119">
        <v>1</v>
      </c>
      <c r="Q72" s="119" t="s">
        <v>3317</v>
      </c>
      <c r="R72" s="119"/>
      <c r="S72" s="119"/>
      <c r="T72" s="119"/>
      <c r="U72" s="119">
        <v>1</v>
      </c>
      <c r="V72" s="119"/>
      <c r="W72" s="119"/>
      <c r="X72" s="119"/>
      <c r="Y72" s="119"/>
      <c r="Z72" s="119"/>
      <c r="AA72" s="119"/>
      <c r="AB72" s="119"/>
      <c r="AC72" s="119"/>
      <c r="AD72" s="119"/>
      <c r="AE72" s="119"/>
      <c r="AF72" s="119"/>
      <c r="AG72" s="119"/>
      <c r="AH72" s="119"/>
    </row>
    <row r="73" spans="1:34" s="161" customFormat="1" x14ac:dyDescent="0.2">
      <c r="A73" s="118"/>
      <c r="B73" s="260"/>
      <c r="C73" s="119"/>
      <c r="D73" s="119"/>
      <c r="E73" s="119"/>
      <c r="F73" s="119"/>
      <c r="G73" s="119"/>
      <c r="H73" s="147"/>
      <c r="I73" s="119" t="s">
        <v>3306</v>
      </c>
      <c r="J73" s="119" t="s">
        <v>3311</v>
      </c>
      <c r="K73" s="119"/>
      <c r="L73" s="119"/>
      <c r="M73" s="119"/>
      <c r="N73" s="119" t="s">
        <v>1034</v>
      </c>
      <c r="O73" s="119" t="s">
        <v>88</v>
      </c>
      <c r="P73" s="119" t="s">
        <v>69</v>
      </c>
      <c r="Q73" s="119"/>
      <c r="R73" s="119"/>
      <c r="S73" s="119"/>
      <c r="T73" s="119"/>
      <c r="U73" s="119">
        <v>1</v>
      </c>
      <c r="V73" s="119"/>
      <c r="W73" s="119"/>
      <c r="X73" s="119"/>
      <c r="Y73" s="119"/>
      <c r="Z73" s="119"/>
      <c r="AA73" s="119"/>
      <c r="AB73" s="119"/>
      <c r="AC73" s="119"/>
      <c r="AD73" s="119"/>
      <c r="AE73" s="119"/>
      <c r="AF73" s="119"/>
      <c r="AG73" s="119"/>
      <c r="AH73" s="119"/>
    </row>
    <row r="74" spans="1:34" s="161" customFormat="1" x14ac:dyDescent="0.2">
      <c r="A74" s="118"/>
      <c r="B74" s="260"/>
      <c r="C74" s="119"/>
      <c r="D74" s="119"/>
      <c r="E74" s="119"/>
      <c r="F74" s="119"/>
      <c r="G74" s="119"/>
      <c r="H74" s="147"/>
      <c r="I74" s="119" t="s">
        <v>3306</v>
      </c>
      <c r="J74" s="119" t="s">
        <v>3311</v>
      </c>
      <c r="K74" s="119"/>
      <c r="L74" s="119"/>
      <c r="M74" s="119"/>
      <c r="N74" s="119" t="s">
        <v>1038</v>
      </c>
      <c r="O74" s="119" t="s">
        <v>88</v>
      </c>
      <c r="P74" s="119" t="s">
        <v>69</v>
      </c>
      <c r="Q74" s="119"/>
      <c r="R74" s="119"/>
      <c r="S74" s="119"/>
      <c r="T74" s="119"/>
      <c r="U74" s="119">
        <v>1</v>
      </c>
      <c r="V74" s="119"/>
      <c r="W74" s="119"/>
      <c r="X74" s="119"/>
      <c r="Y74" s="119"/>
      <c r="Z74" s="119"/>
      <c r="AA74" s="119"/>
      <c r="AB74" s="119"/>
      <c r="AC74" s="119"/>
      <c r="AD74" s="119"/>
      <c r="AE74" s="119"/>
      <c r="AF74" s="119"/>
      <c r="AG74" s="119"/>
      <c r="AH74" s="119"/>
    </row>
    <row r="75" spans="1:34" s="161" customFormat="1" x14ac:dyDescent="0.2">
      <c r="A75" s="118">
        <v>25</v>
      </c>
      <c r="B75" s="260" t="s">
        <v>3376</v>
      </c>
      <c r="C75" s="119"/>
      <c r="D75" s="119" t="s">
        <v>3310</v>
      </c>
      <c r="E75" s="119"/>
      <c r="F75" s="119"/>
      <c r="G75" s="119"/>
      <c r="H75" s="147" t="s">
        <v>3305</v>
      </c>
      <c r="I75" s="260" t="s">
        <v>3302</v>
      </c>
      <c r="J75" s="260"/>
      <c r="K75" s="260"/>
      <c r="L75" s="260"/>
      <c r="M75" s="260"/>
      <c r="N75" s="260" t="s">
        <v>895</v>
      </c>
      <c r="O75" s="260" t="s">
        <v>88</v>
      </c>
      <c r="P75" s="260" t="s">
        <v>69</v>
      </c>
      <c r="Q75" s="260"/>
      <c r="R75" s="266"/>
      <c r="S75" s="260"/>
      <c r="T75" s="260"/>
      <c r="U75" s="260">
        <v>1</v>
      </c>
      <c r="V75" s="119"/>
      <c r="W75" s="119"/>
      <c r="X75" s="119"/>
      <c r="Y75" s="119"/>
      <c r="Z75" s="119"/>
      <c r="AA75" s="119"/>
      <c r="AB75" s="119"/>
      <c r="AC75" s="119"/>
      <c r="AD75" s="119"/>
      <c r="AE75" s="119"/>
      <c r="AF75" s="119"/>
      <c r="AG75" s="119"/>
      <c r="AH75" s="119"/>
    </row>
    <row r="76" spans="1:34" s="158" customFormat="1" x14ac:dyDescent="0.2">
      <c r="A76" s="144" t="s">
        <v>3377</v>
      </c>
      <c r="B76" s="265"/>
      <c r="C76" s="145"/>
      <c r="D76" s="145"/>
      <c r="E76" s="145"/>
      <c r="F76" s="145"/>
      <c r="G76" s="145"/>
      <c r="H76" s="146"/>
      <c r="I76" s="145"/>
      <c r="J76" s="145"/>
      <c r="K76" s="145"/>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row>
    <row r="77" spans="1:34" s="161" customFormat="1" ht="75" x14ac:dyDescent="0.2">
      <c r="A77" s="118">
        <v>26</v>
      </c>
      <c r="B77" s="260" t="s">
        <v>3378</v>
      </c>
      <c r="C77" s="119"/>
      <c r="D77" s="119" t="s">
        <v>3379</v>
      </c>
      <c r="E77" s="119"/>
      <c r="F77" s="119"/>
      <c r="G77" s="119"/>
      <c r="H77" s="147" t="s">
        <v>3305</v>
      </c>
      <c r="I77" s="119" t="s">
        <v>3380</v>
      </c>
      <c r="J77" s="119"/>
      <c r="K77" s="119" t="s">
        <v>3375</v>
      </c>
      <c r="L77" s="119"/>
      <c r="M77" s="167"/>
      <c r="N77" s="119" t="s">
        <v>2903</v>
      </c>
      <c r="O77" s="119" t="s">
        <v>68</v>
      </c>
      <c r="P77" s="119">
        <v>1</v>
      </c>
      <c r="Q77" s="119"/>
      <c r="R77" s="119" t="s">
        <v>3379</v>
      </c>
      <c r="S77" s="119"/>
      <c r="T77" s="119"/>
      <c r="U77" s="119">
        <v>2</v>
      </c>
      <c r="V77" s="119"/>
      <c r="W77" s="119"/>
      <c r="X77" s="119"/>
      <c r="Y77" s="119"/>
      <c r="Z77" s="119"/>
      <c r="AA77" s="119"/>
      <c r="AB77" s="119"/>
      <c r="AC77" s="119"/>
      <c r="AD77" s="119"/>
      <c r="AE77" s="119"/>
      <c r="AF77" s="119"/>
      <c r="AG77" s="119"/>
      <c r="AH77" s="119"/>
    </row>
    <row r="78" spans="1:34" s="161" customFormat="1" x14ac:dyDescent="0.2">
      <c r="A78" s="118"/>
      <c r="B78" s="260"/>
      <c r="C78" s="119"/>
      <c r="D78" s="119"/>
      <c r="E78" s="119"/>
      <c r="F78" s="119"/>
      <c r="G78" s="119"/>
      <c r="H78" s="147"/>
      <c r="I78" s="119" t="s">
        <v>3306</v>
      </c>
      <c r="J78" s="119" t="s">
        <v>3380</v>
      </c>
      <c r="K78" s="119"/>
      <c r="L78" s="119"/>
      <c r="M78" s="119"/>
      <c r="N78" s="119" t="s">
        <v>2907</v>
      </c>
      <c r="O78" s="119" t="s">
        <v>76</v>
      </c>
      <c r="P78" s="119">
        <v>1</v>
      </c>
      <c r="Q78" s="119" t="s">
        <v>3381</v>
      </c>
      <c r="R78" s="119"/>
      <c r="S78" s="119"/>
      <c r="T78" s="119"/>
      <c r="U78" s="119">
        <v>2</v>
      </c>
      <c r="V78" s="119"/>
      <c r="W78" s="119"/>
      <c r="X78" s="119"/>
      <c r="Y78" s="119"/>
      <c r="Z78" s="119"/>
      <c r="AA78" s="119"/>
      <c r="AB78" s="119"/>
      <c r="AC78" s="119"/>
      <c r="AD78" s="119"/>
      <c r="AE78" s="119"/>
      <c r="AF78" s="119"/>
      <c r="AG78" s="119"/>
      <c r="AH78" s="119"/>
    </row>
    <row r="79" spans="1:34" s="161" customFormat="1" x14ac:dyDescent="0.2">
      <c r="A79" s="118"/>
      <c r="B79" s="260"/>
      <c r="C79" s="119"/>
      <c r="D79" s="119"/>
      <c r="E79" s="119"/>
      <c r="F79" s="119"/>
      <c r="G79" s="119"/>
      <c r="H79" s="147"/>
      <c r="I79" s="119" t="s">
        <v>3306</v>
      </c>
      <c r="J79" s="119" t="s">
        <v>3380</v>
      </c>
      <c r="K79" s="119"/>
      <c r="L79" s="119"/>
      <c r="M79" s="119"/>
      <c r="N79" s="119" t="s">
        <v>2892</v>
      </c>
      <c r="O79" s="119" t="s">
        <v>88</v>
      </c>
      <c r="P79" s="119" t="s">
        <v>69</v>
      </c>
      <c r="Q79" s="119"/>
      <c r="R79" s="119"/>
      <c r="S79" s="119"/>
      <c r="T79" s="119"/>
      <c r="U79" s="119">
        <v>2</v>
      </c>
      <c r="V79" s="119"/>
      <c r="W79" s="119"/>
      <c r="X79" s="119"/>
      <c r="Y79" s="119"/>
      <c r="Z79" s="119"/>
      <c r="AA79" s="119"/>
      <c r="AB79" s="119"/>
      <c r="AC79" s="119"/>
      <c r="AD79" s="119"/>
      <c r="AE79" s="119"/>
      <c r="AF79" s="119"/>
      <c r="AG79" s="119"/>
      <c r="AH79" s="119"/>
    </row>
    <row r="80" spans="1:34" s="161" customFormat="1" ht="30" x14ac:dyDescent="0.25">
      <c r="A80" s="118">
        <v>27</v>
      </c>
      <c r="B80" s="189" t="s">
        <v>3382</v>
      </c>
      <c r="C80" s="119"/>
      <c r="D80" s="119" t="s">
        <v>3310</v>
      </c>
      <c r="E80" s="119"/>
      <c r="F80" s="119"/>
      <c r="G80" s="119"/>
      <c r="H80" s="147" t="s">
        <v>3305</v>
      </c>
      <c r="I80" s="119" t="s">
        <v>3311</v>
      </c>
      <c r="J80" s="119"/>
      <c r="K80" s="119"/>
      <c r="L80" s="119"/>
      <c r="M80" s="119"/>
      <c r="N80" s="119" t="s">
        <v>1052</v>
      </c>
      <c r="O80" s="119" t="s">
        <v>76</v>
      </c>
      <c r="P80" s="119">
        <v>1</v>
      </c>
      <c r="Q80" s="119" t="s">
        <v>3317</v>
      </c>
      <c r="R80" s="119" t="s">
        <v>3383</v>
      </c>
      <c r="S80" s="119"/>
      <c r="T80" s="119"/>
      <c r="U80" s="119">
        <v>1</v>
      </c>
      <c r="V80" s="119"/>
      <c r="W80" s="119"/>
      <c r="X80" s="119"/>
      <c r="Y80" s="119"/>
      <c r="Z80" s="119"/>
      <c r="AA80" s="119"/>
      <c r="AB80" s="119"/>
      <c r="AC80" s="119"/>
      <c r="AD80" s="119"/>
      <c r="AE80" s="119"/>
      <c r="AF80" s="119"/>
      <c r="AG80" s="119"/>
      <c r="AH80" s="119"/>
    </row>
    <row r="81" spans="1:34" s="161" customFormat="1" x14ac:dyDescent="0.25">
      <c r="A81" s="118"/>
      <c r="B81" s="156"/>
      <c r="C81" s="119"/>
      <c r="D81" s="119"/>
      <c r="E81" s="119"/>
      <c r="F81" s="119"/>
      <c r="G81" s="119"/>
      <c r="H81" s="147"/>
      <c r="I81" s="119" t="s">
        <v>3306</v>
      </c>
      <c r="J81" s="119" t="s">
        <v>3311</v>
      </c>
      <c r="K81" s="119"/>
      <c r="L81" s="119"/>
      <c r="M81" s="119"/>
      <c r="N81" s="119" t="s">
        <v>1034</v>
      </c>
      <c r="O81" s="119" t="s">
        <v>88</v>
      </c>
      <c r="P81" s="119" t="s">
        <v>69</v>
      </c>
      <c r="Q81" s="119"/>
      <c r="R81" s="119"/>
      <c r="S81" s="119"/>
      <c r="T81" s="119"/>
      <c r="U81" s="119"/>
      <c r="V81" s="119"/>
      <c r="W81" s="119"/>
      <c r="X81" s="119"/>
      <c r="Y81" s="119"/>
      <c r="Z81" s="119"/>
      <c r="AA81" s="119"/>
      <c r="AB81" s="119"/>
      <c r="AC81" s="119"/>
      <c r="AD81" s="119"/>
      <c r="AE81" s="119"/>
      <c r="AF81" s="119"/>
      <c r="AG81" s="119"/>
      <c r="AH81" s="119"/>
    </row>
    <row r="82" spans="1:34" s="161" customFormat="1" x14ac:dyDescent="0.25">
      <c r="A82" s="118"/>
      <c r="B82" s="156"/>
      <c r="C82" s="119"/>
      <c r="D82" s="119"/>
      <c r="E82" s="119"/>
      <c r="F82" s="119"/>
      <c r="G82" s="119"/>
      <c r="H82" s="147"/>
      <c r="I82" s="119" t="s">
        <v>3306</v>
      </c>
      <c r="J82" s="119" t="s">
        <v>3311</v>
      </c>
      <c r="K82" s="119"/>
      <c r="L82" s="119"/>
      <c r="M82" s="119"/>
      <c r="N82" s="119" t="s">
        <v>1038</v>
      </c>
      <c r="O82" s="119" t="s">
        <v>88</v>
      </c>
      <c r="P82" s="119" t="s">
        <v>69</v>
      </c>
      <c r="Q82" s="119"/>
      <c r="R82" s="119"/>
      <c r="S82" s="119"/>
      <c r="T82" s="119"/>
      <c r="U82" s="119"/>
      <c r="V82" s="119"/>
      <c r="W82" s="119"/>
      <c r="X82" s="119"/>
      <c r="Y82" s="119"/>
      <c r="Z82" s="119"/>
      <c r="AA82" s="119"/>
      <c r="AB82" s="119"/>
      <c r="AC82" s="119"/>
      <c r="AD82" s="119"/>
      <c r="AE82" s="119"/>
      <c r="AF82" s="119"/>
      <c r="AG82" s="119"/>
      <c r="AH82" s="119"/>
    </row>
    <row r="83" spans="1:34" s="161" customFormat="1" ht="30" customHeight="1" x14ac:dyDescent="0.2">
      <c r="A83" s="118">
        <v>28</v>
      </c>
      <c r="B83" s="260" t="s">
        <v>3384</v>
      </c>
      <c r="C83" s="119"/>
      <c r="D83" s="119" t="s">
        <v>3310</v>
      </c>
      <c r="E83" s="119"/>
      <c r="F83" s="119"/>
      <c r="G83" s="119"/>
      <c r="H83" s="147" t="s">
        <v>3305</v>
      </c>
      <c r="I83" s="119" t="s">
        <v>3385</v>
      </c>
      <c r="J83" s="119"/>
      <c r="K83" s="119" t="s">
        <v>3386</v>
      </c>
      <c r="L83" s="119"/>
      <c r="M83" s="119"/>
      <c r="N83" s="119" t="s">
        <v>3387</v>
      </c>
      <c r="O83" s="119" t="s">
        <v>76</v>
      </c>
      <c r="P83" s="119">
        <v>1</v>
      </c>
      <c r="Q83" s="119" t="s">
        <v>3388</v>
      </c>
      <c r="R83" s="119"/>
      <c r="S83" s="119"/>
      <c r="T83" s="119"/>
      <c r="U83" s="119">
        <v>1</v>
      </c>
      <c r="V83" s="119"/>
      <c r="W83" s="119"/>
      <c r="X83" s="119"/>
      <c r="Y83" s="119"/>
      <c r="Z83" s="119"/>
      <c r="AA83" s="119"/>
      <c r="AB83" s="119"/>
      <c r="AC83" s="119"/>
      <c r="AD83" s="119"/>
      <c r="AE83" s="119"/>
      <c r="AF83" s="119"/>
      <c r="AG83" s="119"/>
      <c r="AH83" s="119"/>
    </row>
    <row r="84" spans="1:34" s="161" customFormat="1" ht="15" customHeight="1" x14ac:dyDescent="0.2">
      <c r="A84" s="118"/>
      <c r="B84" s="260"/>
      <c r="C84" s="119"/>
      <c r="D84" s="119"/>
      <c r="E84" s="119"/>
      <c r="F84" s="119"/>
      <c r="G84" s="119"/>
      <c r="H84" s="147"/>
      <c r="I84" s="119" t="s">
        <v>3306</v>
      </c>
      <c r="J84" s="119"/>
      <c r="K84" s="119"/>
      <c r="L84" s="119"/>
      <c r="M84" s="119"/>
      <c r="N84" s="119" t="s">
        <v>118</v>
      </c>
      <c r="O84" s="119" t="s">
        <v>88</v>
      </c>
      <c r="P84" s="119">
        <v>1</v>
      </c>
      <c r="Q84" s="119"/>
      <c r="R84" s="119"/>
      <c r="S84" s="119"/>
      <c r="T84" s="119"/>
      <c r="U84" s="119">
        <v>1</v>
      </c>
      <c r="V84" s="119"/>
      <c r="W84" s="119"/>
      <c r="X84" s="119"/>
      <c r="Y84" s="119"/>
      <c r="Z84" s="119"/>
      <c r="AA84" s="119"/>
      <c r="AB84" s="119"/>
      <c r="AC84" s="119"/>
      <c r="AD84" s="119"/>
      <c r="AE84" s="119"/>
      <c r="AF84" s="119"/>
      <c r="AG84" s="119"/>
      <c r="AH84" s="119"/>
    </row>
    <row r="85" spans="1:34" s="161" customFormat="1" ht="15" customHeight="1" x14ac:dyDescent="0.2">
      <c r="A85" s="118"/>
      <c r="B85" s="260"/>
      <c r="C85" s="119"/>
      <c r="D85" s="119"/>
      <c r="E85" s="119"/>
      <c r="F85" s="119"/>
      <c r="G85" s="119"/>
      <c r="H85" s="147"/>
      <c r="I85" s="119" t="s">
        <v>3306</v>
      </c>
      <c r="J85" s="119"/>
      <c r="K85" s="119"/>
      <c r="L85" s="119"/>
      <c r="M85" s="119"/>
      <c r="N85" s="119" t="s">
        <v>275</v>
      </c>
      <c r="O85" s="119" t="s">
        <v>88</v>
      </c>
      <c r="P85" s="119" t="s">
        <v>69</v>
      </c>
      <c r="Q85" s="119"/>
      <c r="R85" s="119"/>
      <c r="S85" s="119"/>
      <c r="T85" s="119"/>
      <c r="U85" s="119">
        <v>1</v>
      </c>
      <c r="V85" s="119"/>
      <c r="W85" s="119"/>
      <c r="X85" s="119"/>
      <c r="Y85" s="119"/>
      <c r="Z85" s="119"/>
      <c r="AA85" s="119"/>
      <c r="AB85" s="119"/>
      <c r="AC85" s="119"/>
      <c r="AD85" s="119"/>
      <c r="AE85" s="119"/>
      <c r="AF85" s="119"/>
      <c r="AG85" s="119"/>
      <c r="AH85" s="119"/>
    </row>
    <row r="86" spans="1:34" s="161" customFormat="1" ht="30" x14ac:dyDescent="0.2">
      <c r="A86" s="118">
        <v>29</v>
      </c>
      <c r="B86" s="260" t="s">
        <v>3389</v>
      </c>
      <c r="C86" s="119"/>
      <c r="D86" s="119" t="s">
        <v>3390</v>
      </c>
      <c r="E86" s="119"/>
      <c r="F86" s="119"/>
      <c r="G86" s="119"/>
      <c r="H86" s="147" t="s">
        <v>65</v>
      </c>
      <c r="I86" s="166" t="s">
        <v>3302</v>
      </c>
      <c r="J86" s="112"/>
      <c r="K86" s="164"/>
      <c r="L86" s="112"/>
      <c r="M86" s="112"/>
      <c r="N86" s="165" t="s">
        <v>872</v>
      </c>
      <c r="O86" s="112" t="s">
        <v>285</v>
      </c>
      <c r="P86" s="112" t="s">
        <v>158</v>
      </c>
      <c r="Q86" s="109"/>
      <c r="R86" s="112"/>
      <c r="S86" s="118"/>
      <c r="T86" s="118"/>
      <c r="U86" s="119">
        <v>1</v>
      </c>
      <c r="V86" s="119"/>
      <c r="W86" s="119"/>
      <c r="X86" s="119"/>
      <c r="Y86" s="119"/>
      <c r="Z86" s="119"/>
      <c r="AA86" s="119"/>
      <c r="AB86" s="119"/>
      <c r="AC86" s="119"/>
      <c r="AD86" s="119"/>
      <c r="AE86" s="119"/>
      <c r="AF86" s="119"/>
      <c r="AG86" s="119"/>
      <c r="AH86" s="119"/>
    </row>
    <row r="87" spans="1:34" s="161" customFormat="1" x14ac:dyDescent="0.2">
      <c r="A87" s="118"/>
      <c r="B87" s="260"/>
      <c r="C87" s="119"/>
      <c r="D87" s="119"/>
      <c r="E87" s="119"/>
      <c r="F87" s="119"/>
      <c r="G87" s="119"/>
      <c r="H87" s="147"/>
      <c r="I87" s="112" t="s">
        <v>3306</v>
      </c>
      <c r="J87" s="166" t="s">
        <v>3302</v>
      </c>
      <c r="K87" s="109"/>
      <c r="L87" s="112"/>
      <c r="M87" s="112"/>
      <c r="N87" s="165" t="s">
        <v>876</v>
      </c>
      <c r="O87" s="112" t="s">
        <v>88</v>
      </c>
      <c r="P87" s="112">
        <v>1</v>
      </c>
      <c r="Q87" s="109"/>
      <c r="R87" s="112"/>
      <c r="S87" s="118"/>
      <c r="T87" s="118"/>
      <c r="U87" s="119">
        <v>1</v>
      </c>
      <c r="V87" s="119"/>
      <c r="W87" s="119"/>
      <c r="X87" s="119"/>
      <c r="Y87" s="119"/>
      <c r="Z87" s="119"/>
      <c r="AA87" s="119"/>
      <c r="AB87" s="119"/>
      <c r="AC87" s="119"/>
      <c r="AD87" s="119"/>
      <c r="AE87" s="119"/>
      <c r="AF87" s="119"/>
      <c r="AG87" s="119"/>
      <c r="AH87" s="119"/>
    </row>
    <row r="88" spans="1:34" s="161" customFormat="1" x14ac:dyDescent="0.2">
      <c r="A88" s="118"/>
      <c r="B88" s="260"/>
      <c r="C88" s="119"/>
      <c r="D88" s="119"/>
      <c r="E88" s="119"/>
      <c r="F88" s="119"/>
      <c r="G88" s="119"/>
      <c r="H88" s="147"/>
      <c r="I88" s="112" t="s">
        <v>3306</v>
      </c>
      <c r="J88" s="166" t="s">
        <v>3302</v>
      </c>
      <c r="K88" s="109"/>
      <c r="L88" s="112"/>
      <c r="M88" s="112"/>
      <c r="N88" s="165" t="s">
        <v>890</v>
      </c>
      <c r="O88" s="164" t="s">
        <v>197</v>
      </c>
      <c r="P88" s="164" t="s">
        <v>69</v>
      </c>
      <c r="Q88" s="109"/>
      <c r="R88" s="164"/>
      <c r="S88" s="118"/>
      <c r="T88" s="118"/>
      <c r="U88" s="119">
        <v>1</v>
      </c>
      <c r="V88" s="119"/>
      <c r="W88" s="119"/>
      <c r="X88" s="119"/>
      <c r="Y88" s="119"/>
      <c r="Z88" s="119"/>
      <c r="AA88" s="119"/>
      <c r="AB88" s="119"/>
      <c r="AC88" s="119"/>
      <c r="AD88" s="119"/>
      <c r="AE88" s="119"/>
      <c r="AF88" s="119"/>
      <c r="AG88" s="119"/>
      <c r="AH88" s="119"/>
    </row>
    <row r="89" spans="1:34" s="161" customFormat="1" x14ac:dyDescent="0.2">
      <c r="A89" s="118"/>
      <c r="B89" s="260"/>
      <c r="C89" s="119"/>
      <c r="D89" s="119"/>
      <c r="E89" s="119"/>
      <c r="F89" s="119"/>
      <c r="G89" s="119"/>
      <c r="H89" s="147"/>
      <c r="I89" s="112" t="s">
        <v>3306</v>
      </c>
      <c r="J89" s="166" t="s">
        <v>3302</v>
      </c>
      <c r="K89" s="119"/>
      <c r="L89" s="118"/>
      <c r="M89" s="118"/>
      <c r="N89" s="165" t="s">
        <v>895</v>
      </c>
      <c r="O89" s="164" t="s">
        <v>88</v>
      </c>
      <c r="P89" s="164" t="s">
        <v>69</v>
      </c>
      <c r="Q89" s="119"/>
      <c r="R89" s="164"/>
      <c r="S89" s="118"/>
      <c r="T89" s="118"/>
      <c r="U89" s="119">
        <v>1</v>
      </c>
      <c r="V89" s="119"/>
      <c r="W89" s="119"/>
      <c r="X89" s="119"/>
      <c r="Y89" s="119"/>
      <c r="Z89" s="119"/>
      <c r="AA89" s="119"/>
      <c r="AB89" s="119"/>
      <c r="AC89" s="119"/>
      <c r="AD89" s="119"/>
      <c r="AE89" s="119"/>
      <c r="AF89" s="119"/>
      <c r="AG89" s="119"/>
      <c r="AH89" s="119"/>
    </row>
    <row r="90" spans="1:34" s="161" customFormat="1" ht="30" x14ac:dyDescent="0.2">
      <c r="A90" s="118">
        <v>30</v>
      </c>
      <c r="B90" s="260" t="s">
        <v>3391</v>
      </c>
      <c r="C90" s="119"/>
      <c r="D90" s="119" t="s">
        <v>3310</v>
      </c>
      <c r="E90" s="119"/>
      <c r="F90" s="119"/>
      <c r="G90" s="119"/>
      <c r="H90" s="147" t="s">
        <v>3392</v>
      </c>
      <c r="I90" s="149" t="s">
        <v>3393</v>
      </c>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row>
    <row r="91" spans="1:34" s="161" customFormat="1" ht="30" customHeight="1" x14ac:dyDescent="0.25">
      <c r="A91" s="118">
        <v>31</v>
      </c>
      <c r="B91" s="273" t="s">
        <v>3394</v>
      </c>
      <c r="C91" s="119"/>
      <c r="D91" s="119" t="s">
        <v>3310</v>
      </c>
      <c r="E91" s="119"/>
      <c r="F91" s="119"/>
      <c r="G91" s="119"/>
      <c r="H91" s="147" t="s">
        <v>3392</v>
      </c>
      <c r="I91" s="119" t="s">
        <v>3385</v>
      </c>
      <c r="J91" s="119"/>
      <c r="K91" s="119" t="s">
        <v>3386</v>
      </c>
      <c r="L91" s="119"/>
      <c r="M91" s="119"/>
      <c r="N91" s="119" t="s">
        <v>3387</v>
      </c>
      <c r="O91" s="119" t="s">
        <v>76</v>
      </c>
      <c r="P91" s="119">
        <v>1</v>
      </c>
      <c r="Q91" s="119" t="s">
        <v>3388</v>
      </c>
      <c r="R91" s="119"/>
      <c r="S91" s="119"/>
      <c r="T91" s="119"/>
      <c r="U91" s="119">
        <v>1</v>
      </c>
      <c r="V91" s="119"/>
      <c r="W91" s="119"/>
      <c r="X91" s="119"/>
      <c r="Y91" s="119"/>
      <c r="Z91" s="119"/>
      <c r="AA91" s="119"/>
      <c r="AB91" s="119"/>
      <c r="AC91" s="119"/>
      <c r="AD91" s="119"/>
      <c r="AE91" s="119"/>
      <c r="AF91" s="119"/>
      <c r="AG91" s="119"/>
      <c r="AH91" s="119"/>
    </row>
    <row r="92" spans="1:34" s="161" customFormat="1" ht="15" customHeight="1" x14ac:dyDescent="0.2">
      <c r="A92" s="118"/>
      <c r="B92" s="260"/>
      <c r="C92" s="119"/>
      <c r="D92" s="119"/>
      <c r="E92" s="119"/>
      <c r="F92" s="119"/>
      <c r="G92" s="119"/>
      <c r="H92" s="147"/>
      <c r="I92" s="119" t="s">
        <v>3306</v>
      </c>
      <c r="J92" s="119"/>
      <c r="K92" s="119"/>
      <c r="L92" s="119"/>
      <c r="M92" s="119"/>
      <c r="N92" s="119" t="s">
        <v>118</v>
      </c>
      <c r="O92" s="119" t="s">
        <v>88</v>
      </c>
      <c r="P92" s="119">
        <v>1</v>
      </c>
      <c r="Q92" s="119"/>
      <c r="R92" s="119"/>
      <c r="S92" s="119"/>
      <c r="T92" s="119"/>
      <c r="U92" s="119">
        <v>1</v>
      </c>
      <c r="V92" s="119"/>
      <c r="W92" s="119"/>
      <c r="X92" s="119"/>
      <c r="Y92" s="119"/>
      <c r="Z92" s="119"/>
      <c r="AA92" s="119"/>
      <c r="AB92" s="119"/>
      <c r="AC92" s="119"/>
      <c r="AD92" s="119"/>
      <c r="AE92" s="119"/>
      <c r="AF92" s="119"/>
      <c r="AG92" s="119"/>
      <c r="AH92" s="119"/>
    </row>
    <row r="93" spans="1:34" s="161" customFormat="1" x14ac:dyDescent="0.2">
      <c r="A93" s="118"/>
      <c r="B93" s="260"/>
      <c r="C93" s="119"/>
      <c r="D93" s="119"/>
      <c r="E93" s="119"/>
      <c r="F93" s="119"/>
      <c r="G93" s="119"/>
      <c r="H93" s="147"/>
      <c r="I93" s="119" t="s">
        <v>3306</v>
      </c>
      <c r="J93" s="119"/>
      <c r="K93" s="119"/>
      <c r="L93" s="119"/>
      <c r="M93" s="119"/>
      <c r="N93" s="119" t="s">
        <v>275</v>
      </c>
      <c r="O93" s="119" t="s">
        <v>88</v>
      </c>
      <c r="P93" s="119" t="s">
        <v>69</v>
      </c>
      <c r="Q93" s="119"/>
      <c r="R93" s="119"/>
      <c r="S93" s="119"/>
      <c r="T93" s="119"/>
      <c r="U93" s="119">
        <v>1</v>
      </c>
      <c r="V93" s="119"/>
      <c r="W93" s="119"/>
      <c r="X93" s="119"/>
      <c r="Y93" s="119"/>
      <c r="Z93" s="119"/>
      <c r="AA93" s="119"/>
      <c r="AB93" s="119"/>
      <c r="AC93" s="119"/>
      <c r="AD93" s="119"/>
      <c r="AE93" s="119"/>
      <c r="AF93" s="119"/>
      <c r="AG93" s="119"/>
      <c r="AH93" s="119"/>
    </row>
    <row r="94" spans="1:34" s="161" customFormat="1" x14ac:dyDescent="0.2">
      <c r="A94" s="157"/>
      <c r="B94" s="274"/>
      <c r="C94" s="117"/>
      <c r="D94" s="117"/>
      <c r="E94" s="117"/>
      <c r="F94" s="117"/>
      <c r="G94" s="117"/>
      <c r="H94" s="160"/>
      <c r="I94" s="117"/>
      <c r="J94" s="117"/>
      <c r="K94" s="117"/>
      <c r="L94" s="117"/>
      <c r="M94" s="117"/>
      <c r="N94" s="117"/>
      <c r="O94" s="117"/>
      <c r="P94" s="117"/>
      <c r="Q94" s="117"/>
      <c r="R94" s="117"/>
      <c r="S94" s="117"/>
      <c r="T94" s="117"/>
      <c r="U94" s="117"/>
      <c r="V94" s="117"/>
      <c r="W94" s="117"/>
      <c r="X94" s="117"/>
      <c r="Y94" s="117"/>
      <c r="Z94" s="117"/>
      <c r="AA94" s="117"/>
      <c r="AB94" s="117"/>
      <c r="AC94" s="117"/>
      <c r="AD94" s="117"/>
      <c r="AE94" s="117"/>
      <c r="AF94" s="117"/>
      <c r="AG94" s="117"/>
      <c r="AH94" s="117"/>
    </row>
    <row r="95" spans="1:34" s="161" customFormat="1" x14ac:dyDescent="0.2">
      <c r="A95" s="157"/>
      <c r="B95" s="274"/>
      <c r="C95" s="117"/>
      <c r="D95" s="117"/>
      <c r="E95" s="117"/>
      <c r="F95" s="117"/>
      <c r="G95" s="117"/>
      <c r="H95" s="160"/>
      <c r="I95" s="117"/>
      <c r="J95" s="117"/>
      <c r="K95" s="117"/>
      <c r="L95" s="117"/>
      <c r="M95" s="117"/>
      <c r="N95" s="117"/>
      <c r="O95" s="117"/>
      <c r="P95" s="117"/>
      <c r="Q95" s="117"/>
      <c r="R95" s="117"/>
      <c r="S95" s="117"/>
      <c r="T95" s="117"/>
      <c r="U95" s="117"/>
      <c r="V95" s="117"/>
      <c r="W95" s="117"/>
      <c r="X95" s="117"/>
      <c r="Y95" s="117"/>
      <c r="Z95" s="117"/>
      <c r="AA95" s="117"/>
      <c r="AB95" s="117"/>
      <c r="AC95" s="117"/>
      <c r="AD95" s="117"/>
      <c r="AE95" s="117"/>
      <c r="AF95" s="117"/>
      <c r="AG95" s="117"/>
      <c r="AH95" s="117"/>
    </row>
    <row r="96" spans="1:34" s="161" customFormat="1" x14ac:dyDescent="0.2">
      <c r="A96" s="157"/>
      <c r="B96" s="274"/>
      <c r="C96" s="117"/>
      <c r="D96" s="117"/>
      <c r="E96" s="117"/>
      <c r="F96" s="117"/>
      <c r="G96" s="117"/>
      <c r="H96" s="160"/>
      <c r="I96" s="117"/>
      <c r="J96" s="117"/>
      <c r="K96" s="117"/>
      <c r="L96" s="117"/>
      <c r="M96" s="117"/>
      <c r="N96" s="117"/>
      <c r="O96" s="117"/>
      <c r="P96" s="117"/>
      <c r="Q96" s="117"/>
      <c r="R96" s="117"/>
      <c r="S96" s="117"/>
      <c r="T96" s="117"/>
      <c r="U96" s="117"/>
      <c r="V96" s="117"/>
      <c r="W96" s="117"/>
      <c r="X96" s="117"/>
      <c r="Y96" s="117"/>
      <c r="Z96" s="117"/>
      <c r="AA96" s="117"/>
      <c r="AB96" s="117"/>
      <c r="AC96" s="117"/>
      <c r="AD96" s="117"/>
      <c r="AE96" s="117"/>
      <c r="AF96" s="117"/>
      <c r="AG96" s="117"/>
      <c r="AH96" s="117"/>
    </row>
    <row r="97" spans="1:34" s="161" customFormat="1" x14ac:dyDescent="0.2">
      <c r="A97" s="157"/>
      <c r="B97" s="274"/>
      <c r="C97" s="117"/>
      <c r="D97" s="117"/>
      <c r="E97" s="117"/>
      <c r="F97" s="117"/>
      <c r="G97" s="117"/>
      <c r="H97" s="160"/>
      <c r="I97" s="117"/>
      <c r="J97" s="117"/>
      <c r="K97" s="117"/>
      <c r="L97" s="117"/>
      <c r="M97" s="117"/>
      <c r="N97" s="117"/>
      <c r="O97" s="117"/>
      <c r="P97" s="117"/>
      <c r="Q97" s="117"/>
      <c r="R97" s="117"/>
      <c r="S97" s="117"/>
      <c r="T97" s="117"/>
      <c r="U97" s="117"/>
      <c r="V97" s="117"/>
      <c r="W97" s="117"/>
      <c r="X97" s="117"/>
      <c r="Y97" s="117"/>
      <c r="Z97" s="117"/>
      <c r="AA97" s="117"/>
      <c r="AB97" s="117"/>
      <c r="AC97" s="117"/>
      <c r="AD97" s="117"/>
      <c r="AE97" s="117"/>
      <c r="AF97" s="117"/>
      <c r="AG97" s="117"/>
      <c r="AH97" s="117"/>
    </row>
    <row r="98" spans="1:34" s="161" customFormat="1" x14ac:dyDescent="0.2">
      <c r="A98" s="157"/>
      <c r="B98" s="274"/>
      <c r="C98" s="117"/>
      <c r="D98" s="117"/>
      <c r="E98" s="117"/>
      <c r="F98" s="117"/>
      <c r="G98" s="117"/>
      <c r="H98" s="160"/>
      <c r="I98" s="117"/>
      <c r="J98" s="117"/>
      <c r="K98" s="117"/>
      <c r="L98" s="117"/>
      <c r="M98" s="117"/>
      <c r="N98" s="117"/>
      <c r="O98" s="117"/>
      <c r="P98" s="117"/>
      <c r="Q98" s="117"/>
      <c r="R98" s="117"/>
      <c r="S98" s="117"/>
      <c r="T98" s="117"/>
      <c r="U98" s="117"/>
      <c r="V98" s="117"/>
      <c r="W98" s="117"/>
      <c r="X98" s="117"/>
      <c r="Y98" s="117"/>
      <c r="Z98" s="117"/>
      <c r="AA98" s="117"/>
      <c r="AB98" s="117"/>
      <c r="AC98" s="117"/>
      <c r="AD98" s="117"/>
      <c r="AE98" s="117"/>
      <c r="AF98" s="117"/>
      <c r="AG98" s="117"/>
      <c r="AH98" s="117"/>
    </row>
    <row r="99" spans="1:34" s="161" customFormat="1" x14ac:dyDescent="0.2">
      <c r="A99" s="157"/>
      <c r="B99" s="274"/>
      <c r="C99" s="117"/>
      <c r="D99" s="117"/>
      <c r="E99" s="117"/>
      <c r="F99" s="117"/>
      <c r="G99" s="117"/>
      <c r="H99" s="160"/>
      <c r="I99" s="117"/>
      <c r="J99" s="117"/>
      <c r="K99" s="117"/>
      <c r="L99" s="117"/>
      <c r="M99" s="117"/>
      <c r="N99" s="117"/>
      <c r="O99" s="117"/>
      <c r="P99" s="117"/>
      <c r="Q99" s="117"/>
      <c r="R99" s="117"/>
      <c r="S99" s="117"/>
      <c r="T99" s="117"/>
      <c r="U99" s="117"/>
      <c r="V99" s="117"/>
      <c r="W99" s="117"/>
      <c r="X99" s="117"/>
      <c r="Y99" s="117"/>
      <c r="Z99" s="117"/>
      <c r="AA99" s="117"/>
      <c r="AB99" s="117"/>
      <c r="AC99" s="117"/>
      <c r="AD99" s="117"/>
      <c r="AE99" s="117"/>
      <c r="AF99" s="117"/>
      <c r="AG99" s="117"/>
      <c r="AH99" s="117"/>
    </row>
    <row r="100" spans="1:34" s="161" customFormat="1" x14ac:dyDescent="0.2">
      <c r="A100" s="157"/>
      <c r="B100" s="274"/>
      <c r="C100" s="117"/>
      <c r="D100" s="117"/>
      <c r="E100" s="117"/>
      <c r="F100" s="117"/>
      <c r="G100" s="117"/>
      <c r="H100" s="160"/>
      <c r="I100" s="117"/>
      <c r="J100" s="117"/>
      <c r="K100" s="117"/>
      <c r="L100" s="117"/>
      <c r="M100" s="117"/>
      <c r="N100" s="117"/>
      <c r="O100" s="117"/>
      <c r="P100" s="117"/>
      <c r="Q100" s="117"/>
      <c r="R100" s="117"/>
      <c r="S100" s="117"/>
      <c r="T100" s="117"/>
      <c r="U100" s="117"/>
      <c r="V100" s="117"/>
      <c r="W100" s="117"/>
      <c r="X100" s="117"/>
      <c r="Y100" s="117"/>
      <c r="Z100" s="117"/>
      <c r="AA100" s="117"/>
      <c r="AB100" s="117"/>
      <c r="AC100" s="117"/>
      <c r="AD100" s="117"/>
      <c r="AE100" s="117"/>
      <c r="AF100" s="117"/>
      <c r="AG100" s="117"/>
      <c r="AH100" s="117"/>
    </row>
    <row r="101" spans="1:34" s="161" customFormat="1" ht="15" customHeight="1" x14ac:dyDescent="0.2">
      <c r="A101" s="157"/>
      <c r="B101" s="274"/>
      <c r="C101" s="117"/>
      <c r="D101" s="117"/>
      <c r="E101" s="117"/>
      <c r="F101" s="117"/>
      <c r="G101" s="117"/>
      <c r="H101" s="160"/>
      <c r="I101" s="117"/>
      <c r="J101" s="117"/>
      <c r="K101" s="117"/>
      <c r="L101" s="117"/>
      <c r="M101" s="117"/>
      <c r="N101" s="117"/>
      <c r="O101" s="117"/>
      <c r="P101" s="117"/>
      <c r="Q101" s="117"/>
      <c r="R101" s="117"/>
      <c r="S101" s="117"/>
      <c r="T101" s="117"/>
      <c r="U101" s="117"/>
      <c r="V101" s="117"/>
      <c r="W101" s="117"/>
      <c r="X101" s="117"/>
      <c r="Y101" s="117"/>
      <c r="Z101" s="117"/>
      <c r="AA101" s="117"/>
      <c r="AB101" s="117"/>
      <c r="AC101" s="117"/>
      <c r="AD101" s="117"/>
      <c r="AE101" s="117"/>
      <c r="AF101" s="117"/>
      <c r="AG101" s="117"/>
      <c r="AH101" s="117"/>
    </row>
    <row r="102" spans="1:34" s="161" customFormat="1" x14ac:dyDescent="0.2">
      <c r="A102" s="157"/>
      <c r="B102" s="274"/>
      <c r="C102" s="117"/>
      <c r="D102" s="117"/>
      <c r="E102" s="117"/>
      <c r="F102" s="117"/>
      <c r="G102" s="117"/>
      <c r="H102" s="160"/>
      <c r="I102" s="117"/>
      <c r="J102" s="117"/>
      <c r="K102" s="117"/>
      <c r="L102" s="117"/>
      <c r="M102" s="117"/>
      <c r="N102" s="117"/>
      <c r="O102" s="117"/>
      <c r="P102" s="117"/>
      <c r="Q102" s="117"/>
      <c r="R102" s="117"/>
      <c r="S102" s="117"/>
      <c r="T102" s="117"/>
      <c r="U102" s="117"/>
      <c r="V102" s="117"/>
      <c r="W102" s="117"/>
      <c r="X102" s="117"/>
      <c r="Y102" s="117"/>
      <c r="Z102" s="117"/>
      <c r="AA102" s="117"/>
      <c r="AB102" s="117"/>
      <c r="AC102" s="117"/>
      <c r="AD102" s="117"/>
      <c r="AE102" s="117"/>
      <c r="AF102" s="117"/>
      <c r="AG102" s="117"/>
      <c r="AH102" s="117"/>
    </row>
    <row r="103" spans="1:34" s="161" customFormat="1" x14ac:dyDescent="0.2">
      <c r="A103" s="157"/>
      <c r="B103" s="274"/>
      <c r="C103" s="117"/>
      <c r="D103" s="117"/>
      <c r="E103" s="117"/>
      <c r="F103" s="117"/>
      <c r="G103" s="117"/>
      <c r="H103" s="160"/>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7"/>
      <c r="AH103" s="117"/>
    </row>
    <row r="104" spans="1:34" s="161" customFormat="1" x14ac:dyDescent="0.2">
      <c r="A104" s="157"/>
      <c r="B104" s="274"/>
      <c r="C104" s="117"/>
      <c r="D104" s="117"/>
      <c r="E104" s="117"/>
      <c r="F104" s="117"/>
      <c r="G104" s="117"/>
      <c r="H104" s="160"/>
      <c r="I104" s="117"/>
      <c r="J104" s="117"/>
      <c r="K104" s="117"/>
      <c r="L104" s="117"/>
      <c r="M104" s="117"/>
      <c r="N104" s="117"/>
      <c r="O104" s="117"/>
      <c r="P104" s="117"/>
      <c r="Q104" s="117"/>
      <c r="R104" s="117"/>
      <c r="S104" s="117"/>
      <c r="T104" s="117"/>
      <c r="U104" s="117"/>
      <c r="V104" s="117"/>
      <c r="W104" s="117"/>
      <c r="X104" s="117"/>
      <c r="Y104" s="117"/>
      <c r="Z104" s="117"/>
      <c r="AA104" s="117"/>
      <c r="AB104" s="117"/>
      <c r="AC104" s="117"/>
      <c r="AD104" s="117"/>
      <c r="AE104" s="117"/>
      <c r="AF104" s="117"/>
      <c r="AG104" s="117"/>
      <c r="AH104" s="117"/>
    </row>
    <row r="105" spans="1:34" s="161" customFormat="1" x14ac:dyDescent="0.2">
      <c r="A105" s="157"/>
      <c r="B105" s="274"/>
      <c r="C105" s="117"/>
      <c r="D105" s="117"/>
      <c r="E105" s="117"/>
      <c r="F105" s="117"/>
      <c r="G105" s="117"/>
      <c r="H105" s="160"/>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row>
    <row r="106" spans="1:34" s="161" customFormat="1" x14ac:dyDescent="0.2">
      <c r="A106" s="157"/>
      <c r="B106" s="274"/>
      <c r="C106" s="117"/>
      <c r="D106" s="117"/>
      <c r="E106" s="117"/>
      <c r="F106" s="117"/>
      <c r="G106" s="117"/>
      <c r="H106" s="160"/>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117"/>
      <c r="AE106" s="117"/>
      <c r="AF106" s="117"/>
      <c r="AG106" s="117"/>
      <c r="AH106" s="117"/>
    </row>
    <row r="107" spans="1:34" s="161" customFormat="1" x14ac:dyDescent="0.2">
      <c r="A107" s="157"/>
      <c r="B107" s="274"/>
      <c r="C107" s="117"/>
      <c r="D107" s="117"/>
      <c r="E107" s="117"/>
      <c r="F107" s="117"/>
      <c r="G107" s="117"/>
      <c r="H107" s="160"/>
      <c r="I107" s="117"/>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117"/>
      <c r="AF107" s="117"/>
      <c r="AG107" s="117"/>
      <c r="AH107" s="117"/>
    </row>
    <row r="108" spans="1:34" s="161" customFormat="1" x14ac:dyDescent="0.2">
      <c r="A108" s="157"/>
      <c r="B108" s="274"/>
      <c r="C108" s="117"/>
      <c r="D108" s="117"/>
      <c r="E108" s="117"/>
      <c r="F108" s="117"/>
      <c r="G108" s="117"/>
      <c r="H108" s="160"/>
      <c r="I108" s="117"/>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117"/>
      <c r="AF108" s="117"/>
      <c r="AG108" s="117"/>
      <c r="AH108" s="117"/>
    </row>
    <row r="109" spans="1:34" s="161" customFormat="1" x14ac:dyDescent="0.2">
      <c r="A109" s="157"/>
      <c r="B109" s="274"/>
      <c r="C109" s="117"/>
      <c r="D109" s="117"/>
      <c r="E109" s="117"/>
      <c r="F109" s="117"/>
      <c r="G109" s="117"/>
      <c r="H109" s="160"/>
      <c r="I109" s="117"/>
      <c r="J109" s="117"/>
      <c r="K109" s="117"/>
      <c r="L109" s="117"/>
      <c r="M109" s="117"/>
      <c r="N109" s="117"/>
      <c r="O109" s="117"/>
      <c r="P109" s="117"/>
      <c r="Q109" s="117"/>
      <c r="R109" s="117"/>
      <c r="S109" s="117"/>
      <c r="T109" s="117"/>
      <c r="U109" s="117"/>
      <c r="V109" s="117"/>
      <c r="W109" s="117"/>
      <c r="X109" s="117"/>
      <c r="Y109" s="117"/>
      <c r="Z109" s="117"/>
      <c r="AA109" s="117"/>
      <c r="AB109" s="117"/>
      <c r="AC109" s="117"/>
      <c r="AD109" s="117"/>
      <c r="AE109" s="117"/>
      <c r="AF109" s="117"/>
      <c r="AG109" s="117"/>
      <c r="AH109" s="117"/>
    </row>
    <row r="110" spans="1:34" s="161" customFormat="1" x14ac:dyDescent="0.2">
      <c r="A110" s="157"/>
      <c r="B110" s="274"/>
      <c r="C110" s="117"/>
      <c r="D110" s="117"/>
      <c r="E110" s="117"/>
      <c r="F110" s="117"/>
      <c r="G110" s="117"/>
      <c r="H110" s="160"/>
      <c r="I110" s="117"/>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c r="AG110" s="117"/>
      <c r="AH110" s="117"/>
    </row>
    <row r="111" spans="1:34" s="161" customFormat="1" x14ac:dyDescent="0.2">
      <c r="A111" s="157"/>
      <c r="B111" s="274"/>
      <c r="C111" s="117"/>
      <c r="D111" s="117"/>
      <c r="E111" s="117"/>
      <c r="F111" s="117"/>
      <c r="G111" s="117"/>
      <c r="H111" s="160"/>
      <c r="I111" s="117"/>
      <c r="J111" s="117"/>
      <c r="K111" s="117"/>
      <c r="L111" s="117"/>
      <c r="M111" s="117"/>
      <c r="N111" s="117"/>
      <c r="O111" s="117"/>
      <c r="P111" s="117"/>
      <c r="Q111" s="117"/>
      <c r="R111" s="117"/>
      <c r="S111" s="117"/>
      <c r="T111" s="117"/>
      <c r="U111" s="117"/>
      <c r="V111" s="117"/>
      <c r="W111" s="117"/>
      <c r="X111" s="117"/>
      <c r="Y111" s="117"/>
      <c r="Z111" s="117"/>
      <c r="AA111" s="117"/>
      <c r="AB111" s="117"/>
      <c r="AC111" s="117"/>
      <c r="AD111" s="117"/>
      <c r="AE111" s="117"/>
      <c r="AF111" s="117"/>
      <c r="AG111" s="117"/>
      <c r="AH111" s="117"/>
    </row>
    <row r="112" spans="1:34" s="161" customFormat="1" x14ac:dyDescent="0.2">
      <c r="A112" s="157"/>
      <c r="B112" s="274"/>
      <c r="C112" s="117"/>
      <c r="D112" s="117"/>
      <c r="E112" s="117"/>
      <c r="F112" s="117"/>
      <c r="G112" s="117"/>
      <c r="H112" s="160"/>
      <c r="I112" s="117"/>
      <c r="J112" s="117"/>
      <c r="K112" s="117"/>
      <c r="L112" s="117"/>
      <c r="M112" s="117"/>
      <c r="N112" s="117"/>
      <c r="O112" s="117"/>
      <c r="P112" s="117"/>
      <c r="Q112" s="117"/>
      <c r="R112" s="117"/>
      <c r="S112" s="117"/>
      <c r="T112" s="117"/>
      <c r="U112" s="117"/>
      <c r="V112" s="117"/>
      <c r="W112" s="117"/>
      <c r="X112" s="117"/>
      <c r="Y112" s="117"/>
      <c r="Z112" s="117"/>
      <c r="AA112" s="117"/>
      <c r="AB112" s="117"/>
      <c r="AC112" s="117"/>
      <c r="AD112" s="117"/>
      <c r="AE112" s="117"/>
      <c r="AF112" s="117"/>
      <c r="AG112" s="117"/>
      <c r="AH112" s="117"/>
    </row>
    <row r="113" spans="1:34" s="161" customFormat="1" x14ac:dyDescent="0.2">
      <c r="A113" s="157"/>
      <c r="B113" s="274"/>
      <c r="C113" s="117"/>
      <c r="D113" s="117"/>
      <c r="E113" s="117"/>
      <c r="F113" s="117"/>
      <c r="G113" s="117"/>
      <c r="H113" s="160"/>
      <c r="I113" s="117"/>
      <c r="J113" s="117"/>
      <c r="K113" s="117"/>
      <c r="L113" s="117"/>
      <c r="M113" s="117"/>
      <c r="N113" s="117"/>
      <c r="O113" s="117"/>
      <c r="P113" s="117"/>
      <c r="Q113" s="117"/>
      <c r="R113" s="117"/>
      <c r="S113" s="117"/>
      <c r="T113" s="117"/>
      <c r="U113" s="117"/>
      <c r="V113" s="117"/>
      <c r="W113" s="117"/>
      <c r="X113" s="117"/>
      <c r="Y113" s="117"/>
      <c r="Z113" s="117"/>
      <c r="AA113" s="117"/>
      <c r="AB113" s="117"/>
      <c r="AC113" s="117"/>
      <c r="AD113" s="117"/>
      <c r="AE113" s="117"/>
      <c r="AF113" s="117"/>
      <c r="AG113" s="117"/>
      <c r="AH113" s="117"/>
    </row>
    <row r="114" spans="1:34" s="161" customFormat="1" x14ac:dyDescent="0.2">
      <c r="A114" s="157"/>
      <c r="B114" s="274"/>
      <c r="C114" s="117"/>
      <c r="D114" s="117"/>
      <c r="E114" s="117"/>
      <c r="F114" s="117"/>
      <c r="G114" s="117"/>
      <c r="H114" s="160"/>
      <c r="I114" s="117"/>
      <c r="J114" s="117"/>
      <c r="K114" s="117"/>
      <c r="L114" s="117"/>
      <c r="M114" s="117"/>
      <c r="N114" s="117"/>
      <c r="O114" s="117"/>
      <c r="P114" s="117"/>
      <c r="Q114" s="117"/>
      <c r="R114" s="117"/>
      <c r="S114" s="117"/>
      <c r="T114" s="117"/>
      <c r="U114" s="117"/>
      <c r="V114" s="117"/>
      <c r="W114" s="117"/>
      <c r="X114" s="117"/>
      <c r="Y114" s="117"/>
      <c r="Z114" s="117"/>
      <c r="AA114" s="117"/>
      <c r="AB114" s="117"/>
      <c r="AC114" s="117"/>
      <c r="AD114" s="117"/>
      <c r="AE114" s="117"/>
      <c r="AF114" s="117"/>
      <c r="AG114" s="117"/>
      <c r="AH114" s="117"/>
    </row>
    <row r="115" spans="1:34" s="161" customFormat="1" x14ac:dyDescent="0.2">
      <c r="A115" s="157"/>
      <c r="B115" s="274"/>
      <c r="C115" s="117"/>
      <c r="D115" s="117"/>
      <c r="E115" s="117"/>
      <c r="F115" s="117"/>
      <c r="G115" s="117"/>
      <c r="H115" s="160"/>
      <c r="I115" s="117"/>
      <c r="J115" s="117"/>
      <c r="K115" s="117"/>
      <c r="L115" s="117"/>
      <c r="M115" s="117"/>
      <c r="N115" s="117"/>
      <c r="O115" s="117"/>
      <c r="P115" s="117"/>
      <c r="Q115" s="117"/>
      <c r="R115" s="117"/>
      <c r="S115" s="117"/>
      <c r="T115" s="117"/>
      <c r="U115" s="117"/>
      <c r="V115" s="117"/>
      <c r="W115" s="117"/>
      <c r="X115" s="117"/>
      <c r="Y115" s="117"/>
      <c r="Z115" s="117"/>
      <c r="AA115" s="117"/>
      <c r="AB115" s="117"/>
      <c r="AC115" s="117"/>
      <c r="AD115" s="117"/>
      <c r="AE115" s="117"/>
      <c r="AF115" s="117"/>
      <c r="AG115" s="117"/>
      <c r="AH115" s="117"/>
    </row>
    <row r="116" spans="1:34" s="161" customFormat="1" x14ac:dyDescent="0.2">
      <c r="A116" s="157"/>
      <c r="B116" s="274"/>
      <c r="C116" s="117"/>
      <c r="D116" s="117"/>
      <c r="E116" s="117"/>
      <c r="F116" s="117"/>
      <c r="G116" s="117"/>
      <c r="H116" s="160"/>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117"/>
      <c r="AE116" s="117"/>
      <c r="AF116" s="117"/>
      <c r="AG116" s="117"/>
      <c r="AH116" s="117"/>
    </row>
    <row r="117" spans="1:34" s="161" customFormat="1" x14ac:dyDescent="0.2">
      <c r="A117" s="157"/>
      <c r="B117" s="274"/>
      <c r="C117" s="117"/>
      <c r="D117" s="117"/>
      <c r="E117" s="117"/>
      <c r="F117" s="117"/>
      <c r="G117" s="117"/>
      <c r="H117" s="160"/>
      <c r="I117" s="117"/>
      <c r="J117" s="117"/>
      <c r="K117" s="117"/>
      <c r="L117" s="117"/>
      <c r="M117" s="117"/>
      <c r="N117" s="117"/>
      <c r="O117" s="117"/>
      <c r="P117" s="117"/>
      <c r="Q117" s="117"/>
      <c r="R117" s="117"/>
      <c r="S117" s="117"/>
      <c r="T117" s="117"/>
      <c r="U117" s="117"/>
      <c r="V117" s="117"/>
      <c r="W117" s="117"/>
      <c r="X117" s="117"/>
      <c r="Y117" s="117"/>
      <c r="Z117" s="117"/>
      <c r="AA117" s="117"/>
      <c r="AB117" s="117"/>
      <c r="AC117" s="117"/>
      <c r="AD117" s="117"/>
      <c r="AE117" s="117"/>
      <c r="AF117" s="117"/>
      <c r="AG117" s="117"/>
      <c r="AH117" s="117"/>
    </row>
    <row r="118" spans="1:34" s="161" customFormat="1" x14ac:dyDescent="0.2">
      <c r="A118" s="157"/>
      <c r="B118" s="274"/>
      <c r="C118" s="117"/>
      <c r="D118" s="117"/>
      <c r="E118" s="117"/>
      <c r="F118" s="117"/>
      <c r="G118" s="117"/>
      <c r="H118" s="160"/>
      <c r="I118" s="117"/>
      <c r="J118" s="117"/>
      <c r="K118" s="117"/>
      <c r="L118" s="117"/>
      <c r="M118" s="117"/>
      <c r="N118" s="117"/>
      <c r="O118" s="117"/>
      <c r="P118" s="117"/>
      <c r="Q118" s="117"/>
      <c r="R118" s="117"/>
      <c r="S118" s="117"/>
      <c r="T118" s="117"/>
      <c r="U118" s="117"/>
      <c r="V118" s="117"/>
      <c r="W118" s="117"/>
      <c r="X118" s="117"/>
      <c r="Y118" s="117"/>
      <c r="Z118" s="117"/>
      <c r="AA118" s="117"/>
      <c r="AB118" s="117"/>
      <c r="AC118" s="117"/>
      <c r="AD118" s="117"/>
      <c r="AE118" s="117"/>
      <c r="AF118" s="117"/>
      <c r="AG118" s="117"/>
      <c r="AH118" s="117"/>
    </row>
    <row r="119" spans="1:34" s="161" customFormat="1" x14ac:dyDescent="0.2">
      <c r="A119" s="157"/>
      <c r="B119" s="274"/>
      <c r="C119" s="117"/>
      <c r="D119" s="117"/>
      <c r="E119" s="117"/>
      <c r="F119" s="117"/>
      <c r="G119" s="117"/>
      <c r="H119" s="160"/>
      <c r="I119" s="117"/>
      <c r="J119" s="117"/>
      <c r="K119" s="117"/>
      <c r="L119" s="117"/>
      <c r="M119" s="117"/>
      <c r="N119" s="117"/>
      <c r="O119" s="117"/>
      <c r="P119" s="117"/>
      <c r="Q119" s="117"/>
      <c r="R119" s="117"/>
      <c r="S119" s="117"/>
      <c r="T119" s="117"/>
      <c r="U119" s="117"/>
      <c r="V119" s="117"/>
      <c r="W119" s="117"/>
      <c r="X119" s="117"/>
      <c r="Y119" s="117"/>
      <c r="Z119" s="117"/>
      <c r="AA119" s="117"/>
      <c r="AB119" s="117"/>
      <c r="AC119" s="117"/>
      <c r="AD119" s="117"/>
      <c r="AE119" s="117"/>
      <c r="AF119" s="117"/>
      <c r="AG119" s="117"/>
      <c r="AH119" s="117"/>
    </row>
    <row r="120" spans="1:34" s="161" customFormat="1" x14ac:dyDescent="0.2">
      <c r="A120" s="157"/>
      <c r="B120" s="274"/>
      <c r="C120" s="117"/>
      <c r="D120" s="117"/>
      <c r="E120" s="117"/>
      <c r="F120" s="117"/>
      <c r="G120" s="117"/>
      <c r="H120" s="160"/>
      <c r="I120" s="117"/>
      <c r="J120" s="117"/>
      <c r="K120" s="117"/>
      <c r="L120" s="117"/>
      <c r="M120" s="117"/>
      <c r="N120" s="117"/>
      <c r="O120" s="117"/>
      <c r="P120" s="117"/>
      <c r="Q120" s="117"/>
      <c r="R120" s="117"/>
      <c r="S120" s="117"/>
      <c r="T120" s="117"/>
      <c r="U120" s="117"/>
      <c r="V120" s="117"/>
      <c r="W120" s="117"/>
      <c r="X120" s="117"/>
      <c r="Y120" s="117"/>
      <c r="Z120" s="117"/>
      <c r="AA120" s="117"/>
      <c r="AB120" s="117"/>
      <c r="AC120" s="117"/>
      <c r="AD120" s="117"/>
      <c r="AE120" s="117"/>
      <c r="AF120" s="117"/>
      <c r="AG120" s="117"/>
      <c r="AH120" s="117"/>
    </row>
    <row r="121" spans="1:34" s="161" customFormat="1" x14ac:dyDescent="0.2">
      <c r="A121" s="157"/>
      <c r="B121" s="274"/>
      <c r="C121" s="117"/>
      <c r="D121" s="117"/>
      <c r="E121" s="117"/>
      <c r="F121" s="117"/>
      <c r="G121" s="117"/>
      <c r="H121" s="160"/>
      <c r="I121" s="117"/>
      <c r="J121" s="117"/>
      <c r="K121" s="117"/>
      <c r="L121" s="117"/>
      <c r="M121" s="117"/>
      <c r="N121" s="117"/>
      <c r="O121" s="117"/>
      <c r="P121" s="117"/>
      <c r="Q121" s="117"/>
      <c r="R121" s="117"/>
      <c r="S121" s="117"/>
      <c r="T121" s="117"/>
      <c r="U121" s="117"/>
      <c r="V121" s="117"/>
      <c r="W121" s="117"/>
      <c r="X121" s="117"/>
      <c r="Y121" s="117"/>
      <c r="Z121" s="117"/>
      <c r="AA121" s="117"/>
      <c r="AB121" s="117"/>
      <c r="AC121" s="117"/>
      <c r="AD121" s="117"/>
      <c r="AE121" s="117"/>
      <c r="AF121" s="117"/>
      <c r="AG121" s="117"/>
      <c r="AH121" s="117"/>
    </row>
    <row r="122" spans="1:34" s="161" customFormat="1" x14ac:dyDescent="0.2">
      <c r="A122" s="157"/>
      <c r="B122" s="274"/>
      <c r="C122" s="117"/>
      <c r="D122" s="117"/>
      <c r="E122" s="117"/>
      <c r="F122" s="117"/>
      <c r="G122" s="117"/>
      <c r="H122" s="160"/>
      <c r="I122" s="117"/>
      <c r="J122" s="117"/>
      <c r="K122" s="117"/>
      <c r="L122" s="117"/>
      <c r="M122" s="117"/>
      <c r="N122" s="117"/>
      <c r="O122" s="117"/>
      <c r="P122" s="117"/>
      <c r="Q122" s="117"/>
      <c r="R122" s="117"/>
      <c r="S122" s="117"/>
      <c r="T122" s="117"/>
      <c r="U122" s="117"/>
      <c r="V122" s="117"/>
      <c r="W122" s="117"/>
      <c r="X122" s="117"/>
      <c r="Y122" s="117"/>
      <c r="Z122" s="117"/>
      <c r="AA122" s="117"/>
      <c r="AB122" s="117"/>
      <c r="AC122" s="117"/>
      <c r="AD122" s="117"/>
      <c r="AE122" s="117"/>
      <c r="AF122" s="117"/>
      <c r="AG122" s="117"/>
      <c r="AH122" s="117"/>
    </row>
    <row r="123" spans="1:34" s="161" customFormat="1" x14ac:dyDescent="0.2">
      <c r="A123" s="157"/>
      <c r="B123" s="274"/>
      <c r="C123" s="117"/>
      <c r="D123" s="117"/>
      <c r="E123" s="117"/>
      <c r="F123" s="117"/>
      <c r="G123" s="117"/>
      <c r="H123" s="160"/>
      <c r="I123" s="117"/>
      <c r="J123" s="117"/>
      <c r="K123" s="117"/>
      <c r="L123" s="117"/>
      <c r="M123" s="117"/>
      <c r="N123" s="117"/>
      <c r="O123" s="117"/>
      <c r="P123" s="117"/>
      <c r="Q123" s="117"/>
      <c r="R123" s="117"/>
      <c r="S123" s="117"/>
      <c r="T123" s="117"/>
      <c r="U123" s="117"/>
      <c r="V123" s="117"/>
      <c r="W123" s="117"/>
      <c r="X123" s="117"/>
      <c r="Y123" s="117"/>
      <c r="Z123" s="117"/>
      <c r="AA123" s="117"/>
      <c r="AB123" s="117"/>
      <c r="AC123" s="117"/>
      <c r="AD123" s="117"/>
      <c r="AE123" s="117"/>
      <c r="AF123" s="117"/>
      <c r="AG123" s="117"/>
      <c r="AH123" s="117"/>
    </row>
    <row r="124" spans="1:34" s="161" customFormat="1" x14ac:dyDescent="0.2">
      <c r="A124" s="157"/>
      <c r="B124" s="274"/>
      <c r="C124" s="117"/>
      <c r="D124" s="117"/>
      <c r="E124" s="117"/>
      <c r="F124" s="117"/>
      <c r="G124" s="117"/>
      <c r="H124" s="160"/>
      <c r="I124" s="117"/>
      <c r="J124" s="117"/>
      <c r="K124" s="117"/>
      <c r="L124" s="117"/>
      <c r="M124" s="117"/>
      <c r="N124" s="117"/>
      <c r="O124" s="117"/>
      <c r="P124" s="117"/>
      <c r="Q124" s="117"/>
      <c r="R124" s="117"/>
      <c r="S124" s="117"/>
      <c r="T124" s="117"/>
      <c r="U124" s="117"/>
      <c r="V124" s="117"/>
      <c r="W124" s="117"/>
      <c r="X124" s="117"/>
      <c r="Y124" s="117"/>
      <c r="Z124" s="117"/>
      <c r="AA124" s="117"/>
      <c r="AB124" s="117"/>
      <c r="AC124" s="117"/>
      <c r="AD124" s="117"/>
      <c r="AE124" s="117"/>
      <c r="AF124" s="117"/>
      <c r="AG124" s="117"/>
      <c r="AH124" s="117"/>
    </row>
    <row r="125" spans="1:34" s="161" customFormat="1" x14ac:dyDescent="0.2">
      <c r="A125" s="157"/>
      <c r="B125" s="274"/>
      <c r="C125" s="117"/>
      <c r="D125" s="117"/>
      <c r="E125" s="117"/>
      <c r="F125" s="117"/>
      <c r="G125" s="117"/>
      <c r="H125" s="160"/>
      <c r="I125" s="117"/>
      <c r="J125" s="117"/>
      <c r="K125" s="117"/>
      <c r="L125" s="117"/>
      <c r="M125" s="117"/>
      <c r="N125" s="117"/>
      <c r="O125" s="117"/>
      <c r="P125" s="117"/>
      <c r="Q125" s="117"/>
      <c r="R125" s="117"/>
      <c r="S125" s="117"/>
      <c r="T125" s="117"/>
      <c r="U125" s="117"/>
      <c r="V125" s="117"/>
      <c r="W125" s="117"/>
      <c r="X125" s="117"/>
      <c r="Y125" s="117"/>
      <c r="Z125" s="117"/>
      <c r="AA125" s="117"/>
      <c r="AB125" s="117"/>
      <c r="AC125" s="117"/>
      <c r="AD125" s="117"/>
      <c r="AE125" s="117"/>
      <c r="AF125" s="117"/>
      <c r="AG125" s="117"/>
      <c r="AH125" s="117"/>
    </row>
    <row r="126" spans="1:34" s="161" customFormat="1" x14ac:dyDescent="0.2">
      <c r="A126" s="157"/>
      <c r="B126" s="274"/>
      <c r="C126" s="117"/>
      <c r="D126" s="117"/>
      <c r="E126" s="117"/>
      <c r="F126" s="117"/>
      <c r="G126" s="117"/>
      <c r="H126" s="160"/>
      <c r="I126" s="117"/>
      <c r="J126" s="117"/>
      <c r="K126" s="117"/>
      <c r="L126" s="117"/>
      <c r="M126" s="117"/>
      <c r="N126" s="117"/>
      <c r="O126" s="117"/>
      <c r="P126" s="117"/>
      <c r="Q126" s="117"/>
      <c r="R126" s="117"/>
      <c r="S126" s="117"/>
      <c r="T126" s="117"/>
      <c r="U126" s="117"/>
      <c r="V126" s="117"/>
      <c r="W126" s="117"/>
      <c r="X126" s="117"/>
      <c r="Y126" s="117"/>
      <c r="Z126" s="117"/>
      <c r="AA126" s="117"/>
      <c r="AB126" s="117"/>
      <c r="AC126" s="117"/>
      <c r="AD126" s="117"/>
      <c r="AE126" s="117"/>
      <c r="AF126" s="117"/>
      <c r="AG126" s="117"/>
      <c r="AH126" s="117"/>
    </row>
    <row r="127" spans="1:34" s="161" customFormat="1" x14ac:dyDescent="0.2">
      <c r="A127" s="157"/>
      <c r="B127" s="274"/>
      <c r="C127" s="117"/>
      <c r="D127" s="117"/>
      <c r="E127" s="117"/>
      <c r="F127" s="117"/>
      <c r="G127" s="117"/>
      <c r="H127" s="160"/>
      <c r="I127" s="117"/>
      <c r="J127" s="117"/>
      <c r="K127" s="117"/>
      <c r="L127" s="117"/>
      <c r="M127" s="117"/>
      <c r="N127" s="117"/>
      <c r="O127" s="117"/>
      <c r="P127" s="117"/>
      <c r="Q127" s="117"/>
      <c r="R127" s="117"/>
      <c r="S127" s="117"/>
      <c r="T127" s="117"/>
      <c r="U127" s="117"/>
      <c r="V127" s="117"/>
      <c r="W127" s="117"/>
      <c r="X127" s="117"/>
      <c r="Y127" s="117"/>
      <c r="Z127" s="117"/>
      <c r="AA127" s="117"/>
      <c r="AB127" s="117"/>
      <c r="AC127" s="117"/>
      <c r="AD127" s="117"/>
      <c r="AE127" s="117"/>
      <c r="AF127" s="117"/>
      <c r="AG127" s="117"/>
      <c r="AH127" s="117"/>
    </row>
    <row r="128" spans="1:34" s="161" customFormat="1" x14ac:dyDescent="0.2">
      <c r="A128" s="157"/>
      <c r="B128" s="274"/>
      <c r="C128" s="117"/>
      <c r="D128" s="117"/>
      <c r="E128" s="117"/>
      <c r="F128" s="117"/>
      <c r="G128" s="117"/>
      <c r="H128" s="160"/>
      <c r="I128" s="117"/>
      <c r="J128" s="117"/>
      <c r="K128" s="117"/>
      <c r="L128" s="117"/>
      <c r="M128" s="117"/>
      <c r="N128" s="117"/>
      <c r="O128" s="117"/>
      <c r="P128" s="117"/>
      <c r="Q128" s="117"/>
      <c r="R128" s="117"/>
      <c r="S128" s="117"/>
      <c r="T128" s="117"/>
      <c r="U128" s="117"/>
      <c r="V128" s="117"/>
      <c r="W128" s="117"/>
      <c r="X128" s="117"/>
      <c r="Y128" s="117"/>
      <c r="Z128" s="117"/>
      <c r="AA128" s="117"/>
      <c r="AB128" s="117"/>
      <c r="AC128" s="117"/>
      <c r="AD128" s="117"/>
      <c r="AE128" s="117"/>
      <c r="AF128" s="117"/>
      <c r="AG128" s="117"/>
      <c r="AH128" s="117"/>
    </row>
    <row r="129" spans="1:34" s="161" customFormat="1" x14ac:dyDescent="0.2">
      <c r="A129" s="157"/>
      <c r="B129" s="274"/>
      <c r="C129" s="117"/>
      <c r="D129" s="117"/>
      <c r="E129" s="117"/>
      <c r="F129" s="117"/>
      <c r="G129" s="117"/>
      <c r="H129" s="160"/>
      <c r="I129" s="117"/>
      <c r="J129" s="117"/>
      <c r="K129" s="117"/>
      <c r="L129" s="117"/>
      <c r="M129" s="117"/>
      <c r="N129" s="117"/>
      <c r="O129" s="117"/>
      <c r="P129" s="117"/>
      <c r="Q129" s="117"/>
      <c r="R129" s="117"/>
      <c r="S129" s="117"/>
      <c r="T129" s="117"/>
      <c r="U129" s="117"/>
      <c r="V129" s="117"/>
      <c r="W129" s="117"/>
      <c r="X129" s="117"/>
      <c r="Y129" s="117"/>
      <c r="Z129" s="117"/>
      <c r="AA129" s="117"/>
      <c r="AB129" s="117"/>
      <c r="AC129" s="117"/>
      <c r="AD129" s="117"/>
      <c r="AE129" s="117"/>
      <c r="AF129" s="117"/>
      <c r="AG129" s="117"/>
      <c r="AH129" s="117"/>
    </row>
    <row r="130" spans="1:34" s="161" customFormat="1" x14ac:dyDescent="0.2">
      <c r="A130" s="157"/>
      <c r="B130" s="274"/>
      <c r="C130" s="117"/>
      <c r="D130" s="117"/>
      <c r="E130" s="117"/>
      <c r="F130" s="117"/>
      <c r="G130" s="117"/>
      <c r="H130" s="160"/>
      <c r="I130" s="117"/>
      <c r="J130" s="117"/>
      <c r="K130" s="117"/>
      <c r="L130" s="117"/>
      <c r="M130" s="117"/>
      <c r="N130" s="117"/>
      <c r="O130" s="117"/>
      <c r="P130" s="117"/>
      <c r="Q130" s="117"/>
      <c r="R130" s="117"/>
      <c r="S130" s="117"/>
      <c r="T130" s="117"/>
      <c r="U130" s="117"/>
      <c r="V130" s="117"/>
      <c r="W130" s="117"/>
      <c r="X130" s="117"/>
      <c r="Y130" s="117"/>
      <c r="Z130" s="117"/>
      <c r="AA130" s="117"/>
      <c r="AB130" s="117"/>
      <c r="AC130" s="117"/>
      <c r="AD130" s="117"/>
      <c r="AE130" s="117"/>
      <c r="AF130" s="117"/>
      <c r="AG130" s="117"/>
      <c r="AH130" s="117"/>
    </row>
    <row r="131" spans="1:34" s="161" customFormat="1" x14ac:dyDescent="0.2">
      <c r="A131" s="157"/>
      <c r="B131" s="274"/>
      <c r="C131" s="117"/>
      <c r="D131" s="117"/>
      <c r="E131" s="117"/>
      <c r="F131" s="117"/>
      <c r="G131" s="117"/>
      <c r="H131" s="160"/>
      <c r="I131" s="117"/>
      <c r="J131" s="117"/>
      <c r="K131" s="117"/>
      <c r="L131" s="117"/>
      <c r="M131" s="117"/>
      <c r="N131" s="117"/>
      <c r="O131" s="117"/>
      <c r="P131" s="117"/>
      <c r="Q131" s="117"/>
      <c r="R131" s="117"/>
      <c r="S131" s="117"/>
      <c r="T131" s="117"/>
      <c r="U131" s="117"/>
      <c r="V131" s="117"/>
      <c r="W131" s="117"/>
      <c r="X131" s="117"/>
      <c r="Y131" s="117"/>
      <c r="Z131" s="117"/>
      <c r="AA131" s="117"/>
      <c r="AB131" s="117"/>
      <c r="AC131" s="117"/>
      <c r="AD131" s="117"/>
      <c r="AE131" s="117"/>
      <c r="AF131" s="117"/>
      <c r="AG131" s="117"/>
      <c r="AH131" s="117"/>
    </row>
    <row r="132" spans="1:34" s="161" customFormat="1" x14ac:dyDescent="0.2">
      <c r="A132" s="157"/>
      <c r="B132" s="274"/>
      <c r="C132" s="117"/>
      <c r="D132" s="117"/>
      <c r="E132" s="117"/>
      <c r="F132" s="117"/>
      <c r="G132" s="117"/>
      <c r="H132" s="160"/>
      <c r="I132" s="117"/>
      <c r="J132" s="117"/>
      <c r="K132" s="117"/>
      <c r="L132" s="117"/>
      <c r="M132" s="117"/>
      <c r="N132" s="117"/>
      <c r="O132" s="117"/>
      <c r="P132" s="117"/>
      <c r="Q132" s="117"/>
      <c r="R132" s="117"/>
      <c r="S132" s="117"/>
      <c r="T132" s="117"/>
      <c r="U132" s="117"/>
      <c r="V132" s="117"/>
      <c r="W132" s="117"/>
      <c r="X132" s="117"/>
      <c r="Y132" s="117"/>
      <c r="Z132" s="117"/>
      <c r="AA132" s="117"/>
      <c r="AB132" s="117"/>
      <c r="AC132" s="117"/>
      <c r="AD132" s="117"/>
      <c r="AE132" s="117"/>
      <c r="AF132" s="117"/>
      <c r="AG132" s="117"/>
      <c r="AH132" s="117"/>
    </row>
    <row r="133" spans="1:34" s="161" customFormat="1" x14ac:dyDescent="0.2">
      <c r="A133" s="157"/>
      <c r="B133" s="274"/>
      <c r="C133" s="117"/>
      <c r="D133" s="117"/>
      <c r="E133" s="117"/>
      <c r="F133" s="117"/>
      <c r="G133" s="117"/>
      <c r="H133" s="160"/>
      <c r="I133" s="117"/>
      <c r="J133" s="117"/>
      <c r="K133" s="117"/>
      <c r="L133" s="117"/>
      <c r="M133" s="117"/>
      <c r="N133" s="117"/>
      <c r="O133" s="117"/>
      <c r="P133" s="117"/>
      <c r="Q133" s="117"/>
      <c r="R133" s="117"/>
      <c r="S133" s="117"/>
      <c r="T133" s="117"/>
      <c r="U133" s="117"/>
      <c r="V133" s="117"/>
      <c r="W133" s="117"/>
      <c r="X133" s="117"/>
      <c r="Y133" s="117"/>
      <c r="Z133" s="117"/>
      <c r="AA133" s="117"/>
      <c r="AB133" s="117"/>
      <c r="AC133" s="117"/>
      <c r="AD133" s="117"/>
      <c r="AE133" s="117"/>
      <c r="AF133" s="117"/>
      <c r="AG133" s="117"/>
      <c r="AH133" s="117"/>
    </row>
    <row r="134" spans="1:34" s="161" customFormat="1" x14ac:dyDescent="0.2">
      <c r="A134" s="157"/>
      <c r="B134" s="274"/>
      <c r="C134" s="117"/>
      <c r="D134" s="117"/>
      <c r="E134" s="117"/>
      <c r="F134" s="117"/>
      <c r="G134" s="117"/>
      <c r="H134" s="160"/>
      <c r="I134" s="117"/>
      <c r="J134" s="117"/>
      <c r="K134" s="117"/>
      <c r="L134" s="117"/>
      <c r="M134" s="117"/>
      <c r="N134" s="117"/>
      <c r="O134" s="117"/>
      <c r="P134" s="117"/>
      <c r="Q134" s="117"/>
      <c r="R134" s="117"/>
      <c r="S134" s="117"/>
      <c r="T134" s="117"/>
      <c r="U134" s="117"/>
      <c r="V134" s="117"/>
      <c r="W134" s="117"/>
      <c r="X134" s="117"/>
      <c r="Y134" s="117"/>
      <c r="Z134" s="117"/>
      <c r="AA134" s="117"/>
      <c r="AB134" s="117"/>
      <c r="AC134" s="117"/>
      <c r="AD134" s="117"/>
      <c r="AE134" s="117"/>
      <c r="AF134" s="117"/>
      <c r="AG134" s="117"/>
      <c r="AH134" s="117"/>
    </row>
    <row r="135" spans="1:34" s="161" customFormat="1" x14ac:dyDescent="0.2">
      <c r="A135" s="157"/>
      <c r="B135" s="274"/>
      <c r="C135" s="117"/>
      <c r="D135" s="117"/>
      <c r="E135" s="117"/>
      <c r="F135" s="117"/>
      <c r="G135" s="117"/>
      <c r="H135" s="160"/>
      <c r="I135" s="117"/>
      <c r="J135" s="117"/>
      <c r="K135" s="117"/>
      <c r="L135" s="117"/>
      <c r="M135" s="117"/>
      <c r="N135" s="117"/>
      <c r="O135" s="117"/>
      <c r="P135" s="117"/>
      <c r="Q135" s="117"/>
      <c r="R135" s="117"/>
      <c r="S135" s="117"/>
      <c r="T135" s="117"/>
      <c r="U135" s="117"/>
      <c r="V135" s="117"/>
      <c r="W135" s="117"/>
      <c r="X135" s="117"/>
      <c r="Y135" s="117"/>
      <c r="Z135" s="117"/>
      <c r="AA135" s="117"/>
      <c r="AB135" s="117"/>
      <c r="AC135" s="117"/>
      <c r="AD135" s="117"/>
      <c r="AE135" s="117"/>
      <c r="AF135" s="117"/>
      <c r="AG135" s="117"/>
      <c r="AH135" s="117"/>
    </row>
    <row r="136" spans="1:34" s="161" customFormat="1" x14ac:dyDescent="0.2">
      <c r="A136" s="157"/>
      <c r="B136" s="274"/>
      <c r="C136" s="117"/>
      <c r="D136" s="117"/>
      <c r="E136" s="117"/>
      <c r="F136" s="117"/>
      <c r="G136" s="117"/>
      <c r="H136" s="160"/>
      <c r="I136" s="117"/>
      <c r="J136" s="117"/>
      <c r="K136" s="117"/>
      <c r="L136" s="117"/>
      <c r="M136" s="117"/>
      <c r="N136" s="117"/>
      <c r="O136" s="117"/>
      <c r="P136" s="117"/>
      <c r="Q136" s="117"/>
      <c r="R136" s="117"/>
      <c r="S136" s="117"/>
      <c r="T136" s="117"/>
      <c r="U136" s="117"/>
      <c r="V136" s="117"/>
      <c r="W136" s="117"/>
      <c r="X136" s="117"/>
      <c r="Y136" s="117"/>
      <c r="Z136" s="117"/>
      <c r="AA136" s="117"/>
      <c r="AB136" s="117"/>
      <c r="AC136" s="117"/>
      <c r="AD136" s="117"/>
      <c r="AE136" s="117"/>
      <c r="AF136" s="117"/>
      <c r="AG136" s="117"/>
      <c r="AH136" s="117"/>
    </row>
    <row r="137" spans="1:34" s="161" customFormat="1" x14ac:dyDescent="0.2">
      <c r="A137" s="157"/>
      <c r="B137" s="274"/>
      <c r="C137" s="117"/>
      <c r="D137" s="117"/>
      <c r="E137" s="117"/>
      <c r="F137" s="117"/>
      <c r="G137" s="117"/>
      <c r="H137" s="160"/>
      <c r="I137" s="117"/>
      <c r="J137" s="117"/>
      <c r="K137" s="117"/>
      <c r="L137" s="117"/>
      <c r="M137" s="117"/>
      <c r="N137" s="117"/>
      <c r="O137" s="117"/>
      <c r="P137" s="117"/>
      <c r="Q137" s="117"/>
      <c r="R137" s="117"/>
      <c r="S137" s="117"/>
      <c r="T137" s="117"/>
      <c r="U137" s="117"/>
      <c r="V137" s="117"/>
      <c r="W137" s="117"/>
      <c r="X137" s="117"/>
      <c r="Y137" s="117"/>
      <c r="Z137" s="117"/>
      <c r="AA137" s="117"/>
      <c r="AB137" s="117"/>
      <c r="AC137" s="117"/>
      <c r="AD137" s="117"/>
      <c r="AE137" s="117"/>
      <c r="AF137" s="117"/>
      <c r="AG137" s="117"/>
      <c r="AH137" s="117"/>
    </row>
    <row r="138" spans="1:34" s="161" customFormat="1" x14ac:dyDescent="0.2">
      <c r="A138" s="157"/>
      <c r="B138" s="274"/>
      <c r="C138" s="117"/>
      <c r="D138" s="117"/>
      <c r="E138" s="117"/>
      <c r="F138" s="117"/>
      <c r="G138" s="117"/>
      <c r="H138" s="160"/>
      <c r="I138" s="117"/>
      <c r="J138" s="117"/>
      <c r="K138" s="117"/>
      <c r="L138" s="117"/>
      <c r="M138" s="117"/>
      <c r="N138" s="117"/>
      <c r="O138" s="117"/>
      <c r="P138" s="117"/>
      <c r="Q138" s="117"/>
      <c r="R138" s="117"/>
      <c r="S138" s="117"/>
      <c r="T138" s="117"/>
      <c r="U138" s="117"/>
      <c r="V138" s="117"/>
      <c r="W138" s="117"/>
      <c r="X138" s="117"/>
      <c r="Y138" s="117"/>
      <c r="Z138" s="117"/>
      <c r="AA138" s="117"/>
      <c r="AB138" s="117"/>
      <c r="AC138" s="117"/>
      <c r="AD138" s="117"/>
      <c r="AE138" s="117"/>
      <c r="AF138" s="117"/>
      <c r="AG138" s="117"/>
      <c r="AH138" s="117"/>
    </row>
    <row r="139" spans="1:34" s="161" customFormat="1" x14ac:dyDescent="0.2">
      <c r="A139" s="157"/>
      <c r="B139" s="274"/>
      <c r="C139" s="117"/>
      <c r="D139" s="117"/>
      <c r="E139" s="117"/>
      <c r="F139" s="117"/>
      <c r="G139" s="117"/>
      <c r="H139" s="160"/>
      <c r="I139" s="117"/>
      <c r="J139" s="117"/>
      <c r="K139" s="117"/>
      <c r="L139" s="117"/>
      <c r="M139" s="117"/>
      <c r="N139" s="117"/>
      <c r="O139" s="117"/>
      <c r="P139" s="117"/>
      <c r="Q139" s="117"/>
      <c r="R139" s="117"/>
      <c r="S139" s="117"/>
      <c r="T139" s="117"/>
      <c r="U139" s="117"/>
      <c r="V139" s="117"/>
      <c r="W139" s="117"/>
      <c r="X139" s="117"/>
      <c r="Y139" s="117"/>
      <c r="Z139" s="117"/>
      <c r="AA139" s="117"/>
      <c r="AB139" s="117"/>
      <c r="AC139" s="117"/>
      <c r="AD139" s="117"/>
      <c r="AE139" s="117"/>
      <c r="AF139" s="117"/>
      <c r="AG139" s="117"/>
      <c r="AH139" s="117"/>
    </row>
    <row r="140" spans="1:34" s="161" customFormat="1" x14ac:dyDescent="0.2">
      <c r="A140" s="157"/>
      <c r="B140" s="274"/>
      <c r="C140" s="117"/>
      <c r="D140" s="117"/>
      <c r="E140" s="117"/>
      <c r="F140" s="117"/>
      <c r="G140" s="117"/>
      <c r="H140" s="160"/>
      <c r="I140" s="117"/>
      <c r="J140" s="117"/>
      <c r="K140" s="117"/>
      <c r="L140" s="117"/>
      <c r="M140" s="117"/>
      <c r="N140" s="117"/>
      <c r="O140" s="117"/>
      <c r="P140" s="117"/>
      <c r="Q140" s="117"/>
      <c r="R140" s="117"/>
      <c r="S140" s="117"/>
      <c r="T140" s="117"/>
      <c r="U140" s="117"/>
      <c r="V140" s="117"/>
      <c r="W140" s="117"/>
      <c r="X140" s="117"/>
      <c r="Y140" s="117"/>
      <c r="Z140" s="117"/>
      <c r="AA140" s="117"/>
      <c r="AB140" s="117"/>
      <c r="AC140" s="117"/>
      <c r="AD140" s="117"/>
      <c r="AE140" s="117"/>
      <c r="AF140" s="117"/>
      <c r="AG140" s="117"/>
      <c r="AH140" s="117"/>
    </row>
    <row r="141" spans="1:34" s="161" customFormat="1" x14ac:dyDescent="0.2">
      <c r="A141" s="157"/>
      <c r="B141" s="274"/>
      <c r="C141" s="117"/>
      <c r="D141" s="117"/>
      <c r="E141" s="117"/>
      <c r="F141" s="117"/>
      <c r="G141" s="117"/>
      <c r="H141" s="160"/>
      <c r="I141" s="117"/>
      <c r="J141" s="117"/>
      <c r="K141" s="117"/>
      <c r="L141" s="117"/>
      <c r="M141" s="117"/>
      <c r="N141" s="117"/>
      <c r="O141" s="117"/>
      <c r="P141" s="117"/>
      <c r="Q141" s="117"/>
      <c r="R141" s="117"/>
      <c r="S141" s="117"/>
      <c r="T141" s="117"/>
      <c r="U141" s="117"/>
      <c r="V141" s="117"/>
      <c r="W141" s="117"/>
      <c r="X141" s="117"/>
      <c r="Y141" s="117"/>
      <c r="Z141" s="117"/>
      <c r="AA141" s="117"/>
      <c r="AB141" s="117"/>
      <c r="AC141" s="117"/>
      <c r="AD141" s="117"/>
      <c r="AE141" s="117"/>
      <c r="AF141" s="117"/>
      <c r="AG141" s="117"/>
      <c r="AH141" s="117"/>
    </row>
    <row r="142" spans="1:34" s="161" customFormat="1" x14ac:dyDescent="0.2">
      <c r="A142" s="157"/>
      <c r="B142" s="274"/>
      <c r="C142" s="117"/>
      <c r="D142" s="117"/>
      <c r="E142" s="117"/>
      <c r="F142" s="117"/>
      <c r="G142" s="117"/>
      <c r="H142" s="160"/>
      <c r="I142" s="117"/>
      <c r="J142" s="117"/>
      <c r="K142" s="117"/>
      <c r="L142" s="117"/>
      <c r="M142" s="117"/>
      <c r="N142" s="117"/>
      <c r="O142" s="117"/>
      <c r="P142" s="117"/>
      <c r="Q142" s="117"/>
      <c r="R142" s="117"/>
      <c r="S142" s="117"/>
      <c r="T142" s="117"/>
      <c r="U142" s="117"/>
      <c r="V142" s="117"/>
      <c r="W142" s="117"/>
      <c r="X142" s="117"/>
      <c r="Y142" s="117"/>
      <c r="Z142" s="117"/>
      <c r="AA142" s="117"/>
      <c r="AB142" s="117"/>
      <c r="AC142" s="117"/>
      <c r="AD142" s="117"/>
      <c r="AE142" s="117"/>
      <c r="AF142" s="117"/>
      <c r="AG142" s="117"/>
      <c r="AH142" s="117"/>
    </row>
    <row r="143" spans="1:34" s="161" customFormat="1" x14ac:dyDescent="0.2">
      <c r="A143" s="157"/>
      <c r="B143" s="274"/>
      <c r="C143" s="117"/>
      <c r="D143" s="117"/>
      <c r="E143" s="117"/>
      <c r="F143" s="117"/>
      <c r="G143" s="117"/>
      <c r="H143" s="160"/>
      <c r="I143" s="117"/>
      <c r="J143" s="117"/>
      <c r="K143" s="117"/>
      <c r="L143" s="117"/>
      <c r="M143" s="117"/>
      <c r="N143" s="117"/>
      <c r="O143" s="117"/>
      <c r="P143" s="117"/>
      <c r="Q143" s="117"/>
      <c r="R143" s="117"/>
      <c r="S143" s="117"/>
      <c r="T143" s="117"/>
      <c r="U143" s="117"/>
      <c r="V143" s="117"/>
      <c r="W143" s="117"/>
      <c r="X143" s="117"/>
      <c r="Y143" s="117"/>
      <c r="Z143" s="117"/>
      <c r="AA143" s="117"/>
      <c r="AB143" s="117"/>
      <c r="AC143" s="117"/>
      <c r="AD143" s="117"/>
      <c r="AE143" s="117"/>
      <c r="AF143" s="117"/>
      <c r="AG143" s="117"/>
      <c r="AH143" s="117"/>
    </row>
    <row r="144" spans="1:34" s="161" customFormat="1" x14ac:dyDescent="0.2">
      <c r="A144" s="157"/>
      <c r="B144" s="274"/>
      <c r="C144" s="117"/>
      <c r="D144" s="117"/>
      <c r="E144" s="117"/>
      <c r="F144" s="117"/>
      <c r="G144" s="117"/>
      <c r="H144" s="160"/>
      <c r="I144" s="117"/>
      <c r="J144" s="117"/>
      <c r="K144" s="117"/>
      <c r="L144" s="117"/>
      <c r="M144" s="117"/>
      <c r="N144" s="117"/>
      <c r="O144" s="117"/>
      <c r="P144" s="117"/>
      <c r="Q144" s="117"/>
      <c r="R144" s="117"/>
      <c r="S144" s="117"/>
      <c r="T144" s="117"/>
      <c r="U144" s="117"/>
      <c r="V144" s="117"/>
      <c r="W144" s="117"/>
      <c r="X144" s="117"/>
      <c r="Y144" s="117"/>
      <c r="Z144" s="117"/>
      <c r="AA144" s="117"/>
      <c r="AB144" s="117"/>
      <c r="AC144" s="117"/>
      <c r="AD144" s="117"/>
      <c r="AE144" s="117"/>
      <c r="AF144" s="117"/>
      <c r="AG144" s="117"/>
      <c r="AH144" s="117"/>
    </row>
    <row r="145" spans="1:34" s="161" customFormat="1" x14ac:dyDescent="0.2">
      <c r="A145" s="157"/>
      <c r="B145" s="274"/>
      <c r="C145" s="117"/>
      <c r="D145" s="117"/>
      <c r="E145" s="117"/>
      <c r="F145" s="117"/>
      <c r="G145" s="117"/>
      <c r="H145" s="160"/>
      <c r="I145" s="117"/>
      <c r="J145" s="117"/>
      <c r="K145" s="117"/>
      <c r="L145" s="117"/>
      <c r="M145" s="117"/>
      <c r="N145" s="117"/>
      <c r="O145" s="117"/>
      <c r="P145" s="117"/>
      <c r="Q145" s="117"/>
      <c r="R145" s="117"/>
      <c r="S145" s="117"/>
      <c r="T145" s="117"/>
      <c r="U145" s="117"/>
      <c r="V145" s="117"/>
      <c r="W145" s="117"/>
      <c r="X145" s="117"/>
      <c r="Y145" s="117"/>
      <c r="Z145" s="117"/>
      <c r="AA145" s="117"/>
      <c r="AB145" s="117"/>
      <c r="AC145" s="117"/>
      <c r="AD145" s="117"/>
      <c r="AE145" s="117"/>
      <c r="AF145" s="117"/>
      <c r="AG145" s="117"/>
      <c r="AH145" s="117"/>
    </row>
    <row r="146" spans="1:34" s="161" customFormat="1" x14ac:dyDescent="0.2">
      <c r="A146" s="157"/>
      <c r="B146" s="274"/>
      <c r="C146" s="117"/>
      <c r="D146" s="117"/>
      <c r="E146" s="117"/>
      <c r="F146" s="117"/>
      <c r="G146" s="117"/>
      <c r="H146" s="160"/>
      <c r="I146" s="117"/>
      <c r="J146" s="117"/>
      <c r="K146" s="117"/>
      <c r="L146" s="117"/>
      <c r="M146" s="117"/>
      <c r="N146" s="117"/>
      <c r="O146" s="117"/>
      <c r="P146" s="117"/>
      <c r="Q146" s="117"/>
      <c r="R146" s="117"/>
      <c r="S146" s="117"/>
      <c r="T146" s="117"/>
      <c r="U146" s="117"/>
      <c r="V146" s="117"/>
      <c r="W146" s="117"/>
      <c r="X146" s="117"/>
      <c r="Y146" s="117"/>
      <c r="Z146" s="117"/>
      <c r="AA146" s="117"/>
      <c r="AB146" s="117"/>
      <c r="AC146" s="117"/>
      <c r="AD146" s="117"/>
      <c r="AE146" s="117"/>
      <c r="AF146" s="117"/>
      <c r="AG146" s="117"/>
      <c r="AH146" s="117"/>
    </row>
    <row r="147" spans="1:34" s="161" customFormat="1" x14ac:dyDescent="0.2">
      <c r="A147" s="157"/>
      <c r="B147" s="274"/>
      <c r="C147" s="117"/>
      <c r="D147" s="117"/>
      <c r="E147" s="117"/>
      <c r="F147" s="117"/>
      <c r="G147" s="117"/>
      <c r="H147" s="160"/>
      <c r="I147" s="117"/>
      <c r="J147" s="117"/>
      <c r="K147" s="117"/>
      <c r="L147" s="117"/>
      <c r="M147" s="117"/>
      <c r="N147" s="117"/>
      <c r="O147" s="117"/>
      <c r="P147" s="117"/>
      <c r="Q147" s="117"/>
      <c r="R147" s="117"/>
      <c r="S147" s="117"/>
      <c r="T147" s="117"/>
      <c r="U147" s="117"/>
      <c r="V147" s="117"/>
      <c r="W147" s="117"/>
      <c r="X147" s="117"/>
      <c r="Y147" s="117"/>
      <c r="Z147" s="117"/>
      <c r="AA147" s="117"/>
      <c r="AB147" s="117"/>
      <c r="AC147" s="117"/>
      <c r="AD147" s="117"/>
      <c r="AE147" s="117"/>
      <c r="AF147" s="117"/>
      <c r="AG147" s="117"/>
      <c r="AH147" s="117"/>
    </row>
    <row r="148" spans="1:34" s="161" customFormat="1" x14ac:dyDescent="0.2">
      <c r="A148" s="157"/>
      <c r="B148" s="274"/>
      <c r="C148" s="117"/>
      <c r="D148" s="117"/>
      <c r="E148" s="117"/>
      <c r="F148" s="117"/>
      <c r="G148" s="117"/>
      <c r="H148" s="160"/>
      <c r="I148" s="117"/>
      <c r="J148" s="117"/>
      <c r="K148" s="117"/>
      <c r="L148" s="117"/>
      <c r="M148" s="117"/>
      <c r="N148" s="117"/>
      <c r="O148" s="117"/>
      <c r="P148" s="117"/>
      <c r="Q148" s="117"/>
      <c r="R148" s="117"/>
      <c r="S148" s="117"/>
      <c r="T148" s="117"/>
      <c r="U148" s="117"/>
      <c r="V148" s="117"/>
      <c r="W148" s="117"/>
      <c r="X148" s="117"/>
      <c r="Y148" s="117"/>
      <c r="Z148" s="117"/>
      <c r="AA148" s="117"/>
      <c r="AB148" s="117"/>
      <c r="AC148" s="117"/>
      <c r="AD148" s="117"/>
      <c r="AE148" s="117"/>
      <c r="AF148" s="117"/>
      <c r="AG148" s="117"/>
      <c r="AH148" s="117"/>
    </row>
    <row r="149" spans="1:34" s="161" customFormat="1" x14ac:dyDescent="0.2">
      <c r="A149" s="157"/>
      <c r="B149" s="274"/>
      <c r="C149" s="117"/>
      <c r="D149" s="117"/>
      <c r="E149" s="117"/>
      <c r="F149" s="117"/>
      <c r="G149" s="117"/>
      <c r="H149" s="160"/>
      <c r="I149" s="117"/>
      <c r="J149" s="117"/>
      <c r="K149" s="117"/>
      <c r="L149" s="117"/>
      <c r="M149" s="117"/>
      <c r="N149" s="117"/>
      <c r="O149" s="117"/>
      <c r="P149" s="117"/>
      <c r="Q149" s="117"/>
      <c r="R149" s="117"/>
      <c r="S149" s="117"/>
      <c r="T149" s="117"/>
      <c r="U149" s="117"/>
      <c r="V149" s="117"/>
      <c r="W149" s="117"/>
      <c r="X149" s="117"/>
      <c r="Y149" s="117"/>
      <c r="Z149" s="117"/>
      <c r="AA149" s="117"/>
      <c r="AB149" s="117"/>
      <c r="AC149" s="117"/>
      <c r="AD149" s="117"/>
      <c r="AE149" s="117"/>
      <c r="AF149" s="117"/>
      <c r="AG149" s="117"/>
      <c r="AH149" s="117"/>
    </row>
    <row r="150" spans="1:34" s="161" customFormat="1" x14ac:dyDescent="0.2">
      <c r="A150" s="157"/>
      <c r="B150" s="274"/>
      <c r="C150" s="117"/>
      <c r="D150" s="117"/>
      <c r="E150" s="117"/>
      <c r="F150" s="117"/>
      <c r="G150" s="117"/>
      <c r="H150" s="160"/>
      <c r="I150" s="117"/>
      <c r="J150" s="117"/>
      <c r="K150" s="117"/>
      <c r="L150" s="117"/>
      <c r="M150" s="117"/>
      <c r="N150" s="117"/>
      <c r="O150" s="117"/>
      <c r="P150" s="117"/>
      <c r="Q150" s="117"/>
      <c r="R150" s="117"/>
      <c r="S150" s="117"/>
      <c r="T150" s="117"/>
      <c r="U150" s="117"/>
      <c r="V150" s="117"/>
      <c r="W150" s="117"/>
      <c r="X150" s="117"/>
      <c r="Y150" s="117"/>
      <c r="Z150" s="117"/>
      <c r="AA150" s="117"/>
      <c r="AB150" s="117"/>
      <c r="AC150" s="117"/>
      <c r="AD150" s="117"/>
      <c r="AE150" s="117"/>
      <c r="AF150" s="117"/>
      <c r="AG150" s="117"/>
      <c r="AH150" s="117"/>
    </row>
    <row r="151" spans="1:34" s="161" customFormat="1" x14ac:dyDescent="0.2">
      <c r="A151" s="157"/>
      <c r="B151" s="274"/>
      <c r="C151" s="117"/>
      <c r="D151" s="117"/>
      <c r="E151" s="117"/>
      <c r="F151" s="117"/>
      <c r="G151" s="117"/>
      <c r="H151" s="160"/>
      <c r="I151" s="117"/>
      <c r="J151" s="117"/>
      <c r="K151" s="117"/>
      <c r="L151" s="117"/>
      <c r="M151" s="117"/>
      <c r="N151" s="117"/>
      <c r="O151" s="117"/>
      <c r="P151" s="117"/>
      <c r="Q151" s="117"/>
      <c r="R151" s="117"/>
      <c r="S151" s="117"/>
      <c r="T151" s="117"/>
      <c r="U151" s="117"/>
      <c r="V151" s="117"/>
      <c r="W151" s="117"/>
      <c r="X151" s="117"/>
      <c r="Y151" s="117"/>
      <c r="Z151" s="117"/>
      <c r="AA151" s="117"/>
      <c r="AB151" s="117"/>
      <c r="AC151" s="117"/>
      <c r="AD151" s="117"/>
      <c r="AE151" s="117"/>
      <c r="AF151" s="117"/>
      <c r="AG151" s="117"/>
      <c r="AH151" s="117"/>
    </row>
    <row r="152" spans="1:34" s="161" customFormat="1" x14ac:dyDescent="0.2">
      <c r="A152" s="157"/>
      <c r="B152" s="274"/>
      <c r="C152" s="117"/>
      <c r="D152" s="117"/>
      <c r="E152" s="117"/>
      <c r="F152" s="117"/>
      <c r="G152" s="117"/>
      <c r="H152" s="160"/>
      <c r="I152" s="117"/>
      <c r="J152" s="117"/>
      <c r="K152" s="117"/>
      <c r="L152" s="117"/>
      <c r="M152" s="117"/>
      <c r="N152" s="117"/>
      <c r="O152" s="117"/>
      <c r="P152" s="117"/>
      <c r="Q152" s="117"/>
      <c r="R152" s="117"/>
      <c r="S152" s="117"/>
      <c r="T152" s="117"/>
      <c r="U152" s="117"/>
      <c r="V152" s="117"/>
      <c r="W152" s="117"/>
      <c r="X152" s="117"/>
      <c r="Y152" s="117"/>
      <c r="Z152" s="117"/>
      <c r="AA152" s="117"/>
      <c r="AB152" s="117"/>
      <c r="AC152" s="117"/>
      <c r="AD152" s="117"/>
      <c r="AE152" s="117"/>
      <c r="AF152" s="117"/>
      <c r="AG152" s="117"/>
      <c r="AH152" s="117"/>
    </row>
    <row r="153" spans="1:34" s="161" customFormat="1" x14ac:dyDescent="0.2">
      <c r="A153" s="157"/>
      <c r="B153" s="274"/>
      <c r="C153" s="117"/>
      <c r="D153" s="117"/>
      <c r="E153" s="117"/>
      <c r="F153" s="117"/>
      <c r="G153" s="117"/>
      <c r="H153" s="160"/>
      <c r="I153" s="117"/>
      <c r="J153" s="117"/>
      <c r="K153" s="117"/>
      <c r="L153" s="117"/>
      <c r="M153" s="117"/>
      <c r="N153" s="117"/>
      <c r="O153" s="117"/>
      <c r="P153" s="117"/>
      <c r="Q153" s="117"/>
      <c r="R153" s="117"/>
      <c r="S153" s="117"/>
      <c r="T153" s="117"/>
      <c r="U153" s="117"/>
      <c r="V153" s="117"/>
      <c r="W153" s="117"/>
      <c r="X153" s="117"/>
      <c r="Y153" s="117"/>
      <c r="Z153" s="117"/>
      <c r="AA153" s="117"/>
      <c r="AB153" s="117"/>
      <c r="AC153" s="117"/>
      <c r="AD153" s="117"/>
      <c r="AE153" s="117"/>
      <c r="AF153" s="117"/>
      <c r="AG153" s="117"/>
      <c r="AH153" s="117"/>
    </row>
    <row r="154" spans="1:34" s="161" customFormat="1" x14ac:dyDescent="0.2">
      <c r="A154" s="157"/>
      <c r="B154" s="274"/>
      <c r="C154" s="117"/>
      <c r="D154" s="117"/>
      <c r="E154" s="117"/>
      <c r="F154" s="117"/>
      <c r="G154" s="117"/>
      <c r="H154" s="160"/>
      <c r="I154" s="117"/>
      <c r="J154" s="117"/>
      <c r="K154" s="117"/>
      <c r="L154" s="117"/>
      <c r="M154" s="117"/>
      <c r="N154" s="117"/>
      <c r="O154" s="117"/>
      <c r="P154" s="117"/>
      <c r="Q154" s="117"/>
      <c r="R154" s="117"/>
      <c r="S154" s="117"/>
      <c r="T154" s="117"/>
      <c r="U154" s="117"/>
      <c r="V154" s="117"/>
      <c r="W154" s="117"/>
      <c r="X154" s="117"/>
      <c r="Y154" s="117"/>
      <c r="Z154" s="117"/>
      <c r="AA154" s="117"/>
      <c r="AB154" s="117"/>
      <c r="AC154" s="117"/>
      <c r="AD154" s="117"/>
      <c r="AE154" s="117"/>
      <c r="AF154" s="117"/>
      <c r="AG154" s="117"/>
      <c r="AH154" s="117"/>
    </row>
    <row r="155" spans="1:34" s="161" customFormat="1" x14ac:dyDescent="0.2">
      <c r="A155" s="157"/>
      <c r="B155" s="274"/>
      <c r="C155" s="117"/>
      <c r="D155" s="117"/>
      <c r="E155" s="117"/>
      <c r="F155" s="117"/>
      <c r="G155" s="117"/>
      <c r="H155" s="160"/>
      <c r="I155" s="117"/>
      <c r="J155" s="117"/>
      <c r="K155" s="117"/>
      <c r="L155" s="117"/>
      <c r="M155" s="117"/>
      <c r="N155" s="117"/>
      <c r="O155" s="117"/>
      <c r="P155" s="117"/>
      <c r="Q155" s="117"/>
      <c r="R155" s="117"/>
      <c r="S155" s="117"/>
      <c r="T155" s="117"/>
      <c r="U155" s="117"/>
      <c r="V155" s="117"/>
      <c r="W155" s="117"/>
      <c r="X155" s="117"/>
      <c r="Y155" s="117"/>
      <c r="Z155" s="117"/>
      <c r="AA155" s="117"/>
      <c r="AB155" s="117"/>
      <c r="AC155" s="117"/>
      <c r="AD155" s="117"/>
      <c r="AE155" s="117"/>
      <c r="AF155" s="117"/>
      <c r="AG155" s="117"/>
      <c r="AH155" s="117"/>
    </row>
    <row r="156" spans="1:34" s="161" customFormat="1" x14ac:dyDescent="0.2">
      <c r="A156" s="157"/>
      <c r="B156" s="274"/>
      <c r="C156" s="117"/>
      <c r="D156" s="117"/>
      <c r="E156" s="117"/>
      <c r="F156" s="117"/>
      <c r="G156" s="117"/>
      <c r="H156" s="160"/>
      <c r="I156" s="117"/>
      <c r="J156" s="117"/>
      <c r="K156" s="117"/>
      <c r="L156" s="117"/>
      <c r="M156" s="117"/>
      <c r="N156" s="117"/>
      <c r="O156" s="117"/>
      <c r="P156" s="117"/>
      <c r="Q156" s="117"/>
      <c r="R156" s="117"/>
      <c r="S156" s="117"/>
      <c r="T156" s="117"/>
      <c r="U156" s="117"/>
      <c r="V156" s="117"/>
      <c r="W156" s="117"/>
      <c r="X156" s="117"/>
      <c r="Y156" s="117"/>
      <c r="Z156" s="117"/>
      <c r="AA156" s="117"/>
      <c r="AB156" s="117"/>
      <c r="AC156" s="117"/>
      <c r="AD156" s="117"/>
      <c r="AE156" s="117"/>
      <c r="AF156" s="117"/>
      <c r="AG156" s="117"/>
      <c r="AH156" s="117"/>
    </row>
    <row r="157" spans="1:34" s="161" customFormat="1" x14ac:dyDescent="0.2">
      <c r="A157" s="157"/>
      <c r="B157" s="274"/>
      <c r="C157" s="117"/>
      <c r="D157" s="117"/>
      <c r="E157" s="117"/>
      <c r="F157" s="117"/>
      <c r="G157" s="117"/>
      <c r="H157" s="160"/>
      <c r="I157" s="117"/>
      <c r="J157" s="117"/>
      <c r="K157" s="117"/>
      <c r="L157" s="117"/>
      <c r="M157" s="117"/>
      <c r="N157" s="117"/>
      <c r="O157" s="117"/>
      <c r="P157" s="117"/>
      <c r="Q157" s="117"/>
      <c r="R157" s="117"/>
      <c r="S157" s="117"/>
      <c r="T157" s="117"/>
      <c r="U157" s="117"/>
      <c r="V157" s="117"/>
      <c r="W157" s="117"/>
      <c r="X157" s="117"/>
      <c r="Y157" s="117"/>
      <c r="Z157" s="117"/>
      <c r="AA157" s="117"/>
      <c r="AB157" s="117"/>
      <c r="AC157" s="117"/>
      <c r="AD157" s="117"/>
      <c r="AE157" s="117"/>
      <c r="AF157" s="117"/>
      <c r="AG157" s="117"/>
      <c r="AH157" s="117"/>
    </row>
    <row r="158" spans="1:34" s="161" customFormat="1" x14ac:dyDescent="0.2">
      <c r="A158" s="157"/>
      <c r="B158" s="274"/>
      <c r="C158" s="117"/>
      <c r="D158" s="117"/>
      <c r="E158" s="117"/>
      <c r="F158" s="117"/>
      <c r="G158" s="117"/>
      <c r="H158" s="160"/>
      <c r="I158" s="117"/>
      <c r="J158" s="117"/>
      <c r="K158" s="117"/>
      <c r="L158" s="117"/>
      <c r="M158" s="117"/>
      <c r="N158" s="117"/>
      <c r="O158" s="117"/>
      <c r="P158" s="117"/>
      <c r="Q158" s="117"/>
      <c r="R158" s="117"/>
      <c r="S158" s="117"/>
      <c r="T158" s="117"/>
      <c r="U158" s="117"/>
      <c r="V158" s="117"/>
      <c r="W158" s="117"/>
      <c r="X158" s="117"/>
      <c r="Y158" s="117"/>
      <c r="Z158" s="117"/>
      <c r="AA158" s="117"/>
      <c r="AB158" s="117"/>
      <c r="AC158" s="117"/>
      <c r="AD158" s="117"/>
      <c r="AE158" s="117"/>
      <c r="AF158" s="117"/>
      <c r="AG158" s="117"/>
      <c r="AH158" s="117"/>
    </row>
    <row r="159" spans="1:34" s="161" customFormat="1" x14ac:dyDescent="0.2">
      <c r="A159" s="157"/>
      <c r="B159" s="274"/>
      <c r="C159" s="117"/>
      <c r="D159" s="117"/>
      <c r="E159" s="117"/>
      <c r="F159" s="117"/>
      <c r="G159" s="117"/>
      <c r="H159" s="160"/>
      <c r="I159" s="117"/>
      <c r="J159" s="117"/>
      <c r="K159" s="117"/>
      <c r="L159" s="117"/>
      <c r="M159" s="117"/>
      <c r="N159" s="117"/>
      <c r="O159" s="117"/>
      <c r="P159" s="117"/>
      <c r="Q159" s="117"/>
      <c r="R159" s="117"/>
      <c r="S159" s="117"/>
      <c r="T159" s="117"/>
      <c r="U159" s="117"/>
      <c r="V159" s="117"/>
      <c r="W159" s="117"/>
      <c r="X159" s="117"/>
      <c r="Y159" s="117"/>
      <c r="Z159" s="117"/>
      <c r="AA159" s="117"/>
      <c r="AB159" s="117"/>
      <c r="AC159" s="117"/>
      <c r="AD159" s="117"/>
      <c r="AE159" s="117"/>
      <c r="AF159" s="117"/>
      <c r="AG159" s="117"/>
      <c r="AH159" s="117"/>
    </row>
    <row r="160" spans="1:34" s="161" customFormat="1" x14ac:dyDescent="0.2">
      <c r="A160" s="157"/>
      <c r="B160" s="274"/>
      <c r="C160" s="117"/>
      <c r="D160" s="117"/>
      <c r="E160" s="117"/>
      <c r="F160" s="117"/>
      <c r="G160" s="117"/>
      <c r="H160" s="160"/>
      <c r="I160" s="117"/>
      <c r="J160" s="117"/>
      <c r="K160" s="117"/>
      <c r="L160" s="117"/>
      <c r="M160" s="117"/>
      <c r="N160" s="117"/>
      <c r="O160" s="117"/>
      <c r="P160" s="117"/>
      <c r="Q160" s="117"/>
      <c r="R160" s="117"/>
      <c r="S160" s="117"/>
      <c r="T160" s="117"/>
      <c r="U160" s="117"/>
      <c r="V160" s="117"/>
      <c r="W160" s="117"/>
      <c r="X160" s="117"/>
      <c r="Y160" s="117"/>
      <c r="Z160" s="117"/>
      <c r="AA160" s="117"/>
      <c r="AB160" s="117"/>
      <c r="AC160" s="117"/>
      <c r="AD160" s="117"/>
      <c r="AE160" s="117"/>
      <c r="AF160" s="117"/>
      <c r="AG160" s="117"/>
      <c r="AH160" s="117"/>
    </row>
    <row r="161" spans="1:34" s="161" customFormat="1" x14ac:dyDescent="0.2">
      <c r="A161" s="157"/>
      <c r="B161" s="274"/>
      <c r="C161" s="117"/>
      <c r="D161" s="117"/>
      <c r="E161" s="117"/>
      <c r="F161" s="117"/>
      <c r="G161" s="117"/>
      <c r="H161" s="160"/>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117"/>
      <c r="AE161" s="117"/>
      <c r="AF161" s="117"/>
      <c r="AG161" s="117"/>
      <c r="AH161" s="117"/>
    </row>
    <row r="162" spans="1:34" s="161" customFormat="1" x14ac:dyDescent="0.2">
      <c r="A162" s="157"/>
      <c r="B162" s="274"/>
      <c r="C162" s="117"/>
      <c r="D162" s="117"/>
      <c r="E162" s="117"/>
      <c r="F162" s="117"/>
      <c r="G162" s="117"/>
      <c r="H162" s="160"/>
      <c r="I162" s="117"/>
      <c r="J162" s="117"/>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17"/>
      <c r="AH162" s="117"/>
    </row>
    <row r="163" spans="1:34" s="161" customFormat="1" x14ac:dyDescent="0.2">
      <c r="A163" s="157"/>
      <c r="B163" s="274"/>
      <c r="C163" s="117"/>
      <c r="D163" s="117"/>
      <c r="E163" s="117"/>
      <c r="F163" s="117"/>
      <c r="G163" s="117"/>
      <c r="H163" s="160"/>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117"/>
      <c r="AE163" s="117"/>
      <c r="AF163" s="117"/>
      <c r="AG163" s="117"/>
      <c r="AH163" s="117"/>
    </row>
    <row r="164" spans="1:34" s="161" customFormat="1" x14ac:dyDescent="0.2">
      <c r="A164" s="157"/>
      <c r="B164" s="274"/>
      <c r="C164" s="117"/>
      <c r="D164" s="117"/>
      <c r="E164" s="117"/>
      <c r="F164" s="117"/>
      <c r="G164" s="117"/>
      <c r="H164" s="160"/>
      <c r="I164" s="117"/>
      <c r="J164" s="117"/>
      <c r="K164" s="117"/>
      <c r="L164" s="117"/>
      <c r="M164" s="117"/>
      <c r="N164" s="117"/>
      <c r="O164" s="117"/>
      <c r="P164" s="117"/>
      <c r="Q164" s="117"/>
      <c r="R164" s="117"/>
      <c r="S164" s="117"/>
      <c r="T164" s="117"/>
      <c r="U164" s="117"/>
      <c r="V164" s="117"/>
      <c r="W164" s="117"/>
      <c r="X164" s="117"/>
      <c r="Y164" s="117"/>
      <c r="Z164" s="117"/>
      <c r="AA164" s="117"/>
      <c r="AB164" s="117"/>
      <c r="AC164" s="117"/>
      <c r="AD164" s="117"/>
      <c r="AE164" s="117"/>
      <c r="AF164" s="117"/>
      <c r="AG164" s="117"/>
      <c r="AH164" s="117"/>
    </row>
    <row r="165" spans="1:34" s="161" customFormat="1" x14ac:dyDescent="0.2">
      <c r="A165" s="157"/>
      <c r="B165" s="274"/>
      <c r="C165" s="117"/>
      <c r="D165" s="117"/>
      <c r="E165" s="117"/>
      <c r="F165" s="117"/>
      <c r="G165" s="117"/>
      <c r="H165" s="160"/>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17"/>
      <c r="AH165" s="117"/>
    </row>
    <row r="166" spans="1:34" s="161" customFormat="1" x14ac:dyDescent="0.2">
      <c r="A166" s="157"/>
      <c r="B166" s="274"/>
      <c r="C166" s="117"/>
      <c r="D166" s="117"/>
      <c r="E166" s="117"/>
      <c r="F166" s="117"/>
      <c r="G166" s="117"/>
      <c r="H166" s="160"/>
      <c r="I166" s="117"/>
      <c r="J166" s="117"/>
      <c r="K166" s="117"/>
      <c r="L166" s="117"/>
      <c r="M166" s="117"/>
      <c r="N166" s="117"/>
      <c r="O166" s="117"/>
      <c r="P166" s="117"/>
      <c r="Q166" s="117"/>
      <c r="R166" s="117"/>
      <c r="S166" s="117"/>
      <c r="T166" s="117"/>
      <c r="U166" s="117"/>
      <c r="V166" s="117"/>
      <c r="W166" s="117"/>
      <c r="X166" s="117"/>
      <c r="Y166" s="117"/>
      <c r="Z166" s="117"/>
      <c r="AA166" s="117"/>
      <c r="AB166" s="117"/>
      <c r="AC166" s="117"/>
      <c r="AD166" s="117"/>
      <c r="AE166" s="117"/>
      <c r="AF166" s="117"/>
      <c r="AG166" s="117"/>
      <c r="AH166" s="117"/>
    </row>
    <row r="167" spans="1:34" s="161" customFormat="1" x14ac:dyDescent="0.2">
      <c r="A167" s="157"/>
      <c r="B167" s="274"/>
      <c r="C167" s="117"/>
      <c r="D167" s="117"/>
      <c r="E167" s="117"/>
      <c r="F167" s="117"/>
      <c r="G167" s="117"/>
      <c r="H167" s="160"/>
      <c r="I167" s="117"/>
      <c r="J167" s="117"/>
      <c r="K167" s="117"/>
      <c r="L167" s="117"/>
      <c r="M167" s="117"/>
      <c r="N167" s="117"/>
      <c r="O167" s="117"/>
      <c r="P167" s="117"/>
      <c r="Q167" s="117"/>
      <c r="R167" s="117"/>
      <c r="S167" s="117"/>
      <c r="T167" s="117"/>
      <c r="U167" s="117"/>
      <c r="V167" s="117"/>
      <c r="W167" s="117"/>
      <c r="X167" s="117"/>
      <c r="Y167" s="117"/>
      <c r="Z167" s="117"/>
      <c r="AA167" s="117"/>
      <c r="AB167" s="117"/>
      <c r="AC167" s="117"/>
      <c r="AD167" s="117"/>
      <c r="AE167" s="117"/>
      <c r="AF167" s="117"/>
      <c r="AG167" s="117"/>
      <c r="AH167" s="117"/>
    </row>
    <row r="168" spans="1:34" s="161" customFormat="1" ht="15" customHeight="1" x14ac:dyDescent="0.2">
      <c r="A168" s="157"/>
      <c r="B168" s="274"/>
      <c r="C168" s="117"/>
      <c r="D168" s="117"/>
      <c r="E168" s="117"/>
      <c r="F168" s="117"/>
      <c r="G168" s="117"/>
      <c r="H168" s="160"/>
      <c r="I168" s="117"/>
      <c r="J168" s="117"/>
      <c r="K168" s="117"/>
      <c r="L168" s="117"/>
      <c r="M168" s="117"/>
      <c r="N168" s="117"/>
      <c r="O168" s="117"/>
      <c r="P168" s="117"/>
      <c r="Q168" s="117"/>
      <c r="R168" s="117"/>
      <c r="S168" s="117"/>
      <c r="T168" s="117"/>
      <c r="U168" s="117"/>
      <c r="V168" s="117"/>
      <c r="W168" s="117"/>
      <c r="X168" s="117"/>
      <c r="Y168" s="117"/>
      <c r="Z168" s="117"/>
      <c r="AA168" s="117"/>
      <c r="AB168" s="117"/>
      <c r="AC168" s="117"/>
      <c r="AD168" s="117"/>
      <c r="AE168" s="117"/>
      <c r="AF168" s="117"/>
      <c r="AG168" s="117"/>
      <c r="AH168" s="117"/>
    </row>
    <row r="169" spans="1:34" s="161" customFormat="1" x14ac:dyDescent="0.2">
      <c r="A169" s="157"/>
      <c r="B169" s="274"/>
      <c r="C169" s="117"/>
      <c r="D169" s="117"/>
      <c r="E169" s="117"/>
      <c r="F169" s="117"/>
      <c r="G169" s="117"/>
      <c r="H169" s="160"/>
      <c r="I169" s="117"/>
      <c r="J169" s="117"/>
      <c r="K169" s="117"/>
      <c r="L169" s="117"/>
      <c r="M169" s="117"/>
      <c r="N169" s="117"/>
      <c r="O169" s="117"/>
      <c r="P169" s="117"/>
      <c r="Q169" s="117"/>
      <c r="R169" s="117"/>
      <c r="S169" s="117"/>
      <c r="T169" s="117"/>
      <c r="U169" s="117"/>
      <c r="V169" s="117"/>
      <c r="W169" s="117"/>
      <c r="X169" s="117"/>
      <c r="Y169" s="117"/>
      <c r="Z169" s="117"/>
      <c r="AA169" s="117"/>
      <c r="AB169" s="117"/>
      <c r="AC169" s="117"/>
      <c r="AD169" s="117"/>
      <c r="AE169" s="117"/>
      <c r="AF169" s="117"/>
      <c r="AG169" s="117"/>
      <c r="AH169" s="117"/>
    </row>
    <row r="170" spans="1:34" s="161" customFormat="1" x14ac:dyDescent="0.2">
      <c r="A170" s="157"/>
      <c r="B170" s="274"/>
      <c r="C170" s="117"/>
      <c r="D170" s="117"/>
      <c r="E170" s="117"/>
      <c r="F170" s="117"/>
      <c r="G170" s="117"/>
      <c r="H170" s="160"/>
      <c r="I170" s="117"/>
      <c r="J170" s="117"/>
      <c r="K170" s="117"/>
      <c r="L170" s="117"/>
      <c r="M170" s="117"/>
      <c r="N170" s="117"/>
      <c r="O170" s="117"/>
      <c r="P170" s="117"/>
      <c r="Q170" s="117"/>
      <c r="R170" s="117"/>
      <c r="S170" s="117"/>
      <c r="T170" s="117"/>
      <c r="U170" s="117"/>
      <c r="V170" s="117"/>
      <c r="W170" s="117"/>
      <c r="X170" s="117"/>
      <c r="Y170" s="117"/>
      <c r="Z170" s="117"/>
      <c r="AA170" s="117"/>
      <c r="AB170" s="117"/>
      <c r="AC170" s="117"/>
      <c r="AD170" s="117"/>
      <c r="AE170" s="117"/>
      <c r="AF170" s="117"/>
      <c r="AG170" s="117"/>
      <c r="AH170" s="117"/>
    </row>
    <row r="171" spans="1:34" s="161" customFormat="1" ht="15" customHeight="1" x14ac:dyDescent="0.2">
      <c r="A171" s="157"/>
      <c r="B171" s="274"/>
      <c r="C171" s="117"/>
      <c r="D171" s="117"/>
      <c r="E171" s="117"/>
      <c r="F171" s="117"/>
      <c r="G171" s="117"/>
      <c r="H171" s="160"/>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17"/>
      <c r="AH171" s="117"/>
    </row>
    <row r="172" spans="1:34" s="161" customFormat="1" x14ac:dyDescent="0.2">
      <c r="A172" s="157"/>
      <c r="B172" s="274"/>
      <c r="C172" s="117"/>
      <c r="D172" s="117"/>
      <c r="E172" s="117"/>
      <c r="F172" s="117"/>
      <c r="G172" s="117"/>
      <c r="H172" s="160"/>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17"/>
      <c r="AH172" s="117"/>
    </row>
    <row r="173" spans="1:34" s="161" customFormat="1" x14ac:dyDescent="0.2">
      <c r="A173" s="157"/>
      <c r="B173" s="274"/>
      <c r="C173" s="117"/>
      <c r="D173" s="117"/>
      <c r="E173" s="117"/>
      <c r="F173" s="117"/>
      <c r="G173" s="117"/>
      <c r="H173" s="160"/>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17"/>
      <c r="AH173" s="117"/>
    </row>
    <row r="174" spans="1:34" s="161" customFormat="1" ht="15" customHeight="1" x14ac:dyDescent="0.2">
      <c r="A174" s="157"/>
      <c r="B174" s="274"/>
      <c r="C174" s="117"/>
      <c r="D174" s="117"/>
      <c r="E174" s="117"/>
      <c r="F174" s="117"/>
      <c r="G174" s="117"/>
      <c r="H174" s="160"/>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17"/>
      <c r="AH174" s="117"/>
    </row>
    <row r="175" spans="1:34" s="161" customFormat="1" ht="15" customHeight="1" x14ac:dyDescent="0.2">
      <c r="A175" s="157"/>
      <c r="B175" s="274"/>
      <c r="C175" s="117"/>
      <c r="D175" s="117"/>
      <c r="E175" s="117"/>
      <c r="F175" s="117"/>
      <c r="G175" s="117"/>
      <c r="H175" s="160"/>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17"/>
      <c r="AH175" s="117"/>
    </row>
    <row r="176" spans="1:34" s="161" customFormat="1" x14ac:dyDescent="0.2">
      <c r="A176" s="157"/>
      <c r="B176" s="274"/>
      <c r="C176" s="117"/>
      <c r="D176" s="117"/>
      <c r="E176" s="117"/>
      <c r="F176" s="117"/>
      <c r="G176" s="117"/>
      <c r="H176" s="160"/>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17"/>
      <c r="AH176" s="117"/>
    </row>
    <row r="177" spans="1:34" s="161" customFormat="1" x14ac:dyDescent="0.2">
      <c r="A177" s="157"/>
      <c r="B177" s="274"/>
      <c r="C177" s="117"/>
      <c r="D177" s="117"/>
      <c r="E177" s="117"/>
      <c r="F177" s="117"/>
      <c r="G177" s="117"/>
      <c r="H177" s="160"/>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17"/>
      <c r="AH177" s="117"/>
    </row>
    <row r="178" spans="1:34" s="161" customFormat="1" x14ac:dyDescent="0.2">
      <c r="A178" s="157"/>
      <c r="B178" s="274"/>
      <c r="C178" s="117"/>
      <c r="D178" s="117"/>
      <c r="E178" s="117"/>
      <c r="F178" s="117"/>
      <c r="G178" s="117"/>
      <c r="H178" s="160"/>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17"/>
      <c r="AH178" s="117"/>
    </row>
    <row r="179" spans="1:34" s="161" customFormat="1" x14ac:dyDescent="0.2">
      <c r="A179" s="157"/>
      <c r="B179" s="274"/>
      <c r="C179" s="117"/>
      <c r="D179" s="117"/>
      <c r="E179" s="117"/>
      <c r="F179" s="117"/>
      <c r="G179" s="117"/>
      <c r="H179" s="160"/>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17"/>
      <c r="AH179" s="117"/>
    </row>
    <row r="180" spans="1:34" s="161" customFormat="1" x14ac:dyDescent="0.2">
      <c r="A180" s="157"/>
      <c r="B180" s="274"/>
      <c r="C180" s="117"/>
      <c r="D180" s="117"/>
      <c r="E180" s="117"/>
      <c r="F180" s="117"/>
      <c r="G180" s="117"/>
      <c r="H180" s="160"/>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117"/>
      <c r="AG180" s="117"/>
      <c r="AH180" s="117"/>
    </row>
    <row r="181" spans="1:34" s="161" customFormat="1" x14ac:dyDescent="0.2">
      <c r="A181" s="157"/>
      <c r="B181" s="274"/>
      <c r="C181" s="117"/>
      <c r="D181" s="117"/>
      <c r="E181" s="117"/>
      <c r="F181" s="117"/>
      <c r="G181" s="117"/>
      <c r="H181" s="160"/>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17"/>
      <c r="AH181" s="117"/>
    </row>
    <row r="182" spans="1:34" s="161" customFormat="1" x14ac:dyDescent="0.2">
      <c r="A182" s="157"/>
      <c r="B182" s="274"/>
      <c r="C182" s="117"/>
      <c r="D182" s="117"/>
      <c r="E182" s="117"/>
      <c r="F182" s="117"/>
      <c r="G182" s="117"/>
      <c r="H182" s="160"/>
      <c r="I182" s="117"/>
      <c r="J182" s="117"/>
      <c r="K182" s="117"/>
      <c r="L182" s="117"/>
      <c r="M182" s="117"/>
      <c r="N182" s="117"/>
      <c r="O182" s="117"/>
      <c r="P182" s="117"/>
      <c r="Q182" s="117"/>
      <c r="R182" s="117"/>
      <c r="S182" s="117"/>
      <c r="T182" s="117"/>
      <c r="U182" s="117"/>
      <c r="V182" s="117"/>
      <c r="W182" s="117"/>
      <c r="X182" s="117"/>
      <c r="Y182" s="117"/>
      <c r="Z182" s="117"/>
      <c r="AA182" s="117"/>
      <c r="AB182" s="117"/>
      <c r="AC182" s="117"/>
      <c r="AD182" s="117"/>
      <c r="AE182" s="117"/>
      <c r="AF182" s="117"/>
      <c r="AG182" s="117"/>
      <c r="AH182" s="117"/>
    </row>
    <row r="183" spans="1:34" s="161" customFormat="1" x14ac:dyDescent="0.2">
      <c r="A183" s="157"/>
      <c r="B183" s="274"/>
      <c r="C183" s="117"/>
      <c r="D183" s="117"/>
      <c r="E183" s="117"/>
      <c r="F183" s="117"/>
      <c r="G183" s="117"/>
      <c r="H183" s="160"/>
      <c r="I183" s="117"/>
      <c r="J183" s="117"/>
      <c r="K183" s="117"/>
      <c r="L183" s="117"/>
      <c r="M183" s="117"/>
      <c r="N183" s="117"/>
      <c r="O183" s="117"/>
      <c r="P183" s="117"/>
      <c r="Q183" s="117"/>
      <c r="R183" s="117"/>
      <c r="S183" s="117"/>
      <c r="T183" s="117"/>
      <c r="U183" s="117"/>
      <c r="V183" s="117"/>
      <c r="W183" s="117"/>
      <c r="X183" s="117"/>
      <c r="Y183" s="117"/>
      <c r="Z183" s="117"/>
      <c r="AA183" s="117"/>
      <c r="AB183" s="117"/>
      <c r="AC183" s="117"/>
      <c r="AD183" s="117"/>
      <c r="AE183" s="117"/>
      <c r="AF183" s="117"/>
      <c r="AG183" s="117"/>
      <c r="AH183" s="117"/>
    </row>
    <row r="184" spans="1:34" s="161" customFormat="1" x14ac:dyDescent="0.2">
      <c r="A184" s="157"/>
      <c r="B184" s="274"/>
      <c r="C184" s="117"/>
      <c r="D184" s="117"/>
      <c r="E184" s="117"/>
      <c r="F184" s="117"/>
      <c r="G184" s="117"/>
      <c r="H184" s="160"/>
      <c r="I184" s="117"/>
      <c r="J184" s="117"/>
      <c r="K184" s="117"/>
      <c r="L184" s="117"/>
      <c r="M184" s="117"/>
      <c r="N184" s="117"/>
      <c r="O184" s="117"/>
      <c r="P184" s="117"/>
      <c r="Q184" s="117"/>
      <c r="R184" s="117"/>
      <c r="S184" s="117"/>
      <c r="T184" s="117"/>
      <c r="U184" s="117"/>
      <c r="V184" s="117"/>
      <c r="W184" s="117"/>
      <c r="X184" s="117"/>
      <c r="Y184" s="117"/>
      <c r="Z184" s="117"/>
      <c r="AA184" s="117"/>
      <c r="AB184" s="117"/>
      <c r="AC184" s="117"/>
      <c r="AD184" s="117"/>
      <c r="AE184" s="117"/>
      <c r="AF184" s="117"/>
      <c r="AG184" s="117"/>
      <c r="AH184" s="117"/>
    </row>
    <row r="185" spans="1:34" s="161" customFormat="1" x14ac:dyDescent="0.2">
      <c r="A185" s="157"/>
      <c r="B185" s="274"/>
      <c r="C185" s="117"/>
      <c r="D185" s="117"/>
      <c r="E185" s="117"/>
      <c r="F185" s="117"/>
      <c r="G185" s="117"/>
      <c r="H185" s="160"/>
      <c r="I185" s="117"/>
      <c r="J185" s="117"/>
      <c r="K185" s="117"/>
      <c r="L185" s="117"/>
      <c r="M185" s="117"/>
      <c r="N185" s="117"/>
      <c r="O185" s="117"/>
      <c r="P185" s="117"/>
      <c r="Q185" s="117"/>
      <c r="R185" s="117"/>
      <c r="S185" s="117"/>
      <c r="T185" s="117"/>
      <c r="U185" s="117"/>
      <c r="V185" s="117"/>
      <c r="W185" s="117"/>
      <c r="X185" s="117"/>
      <c r="Y185" s="117"/>
      <c r="Z185" s="117"/>
      <c r="AA185" s="117"/>
      <c r="AB185" s="117"/>
      <c r="AC185" s="117"/>
      <c r="AD185" s="117"/>
      <c r="AE185" s="117"/>
      <c r="AF185" s="117"/>
      <c r="AG185" s="117"/>
      <c r="AH185" s="117"/>
    </row>
    <row r="186" spans="1:34" s="161" customFormat="1" x14ac:dyDescent="0.2">
      <c r="A186" s="157"/>
      <c r="B186" s="274"/>
      <c r="C186" s="117"/>
      <c r="D186" s="117"/>
      <c r="E186" s="117"/>
      <c r="F186" s="117"/>
      <c r="G186" s="117"/>
      <c r="H186" s="160"/>
      <c r="I186" s="117"/>
      <c r="J186" s="117"/>
      <c r="K186" s="117"/>
      <c r="L186" s="117"/>
      <c r="M186" s="117"/>
      <c r="N186" s="117"/>
      <c r="O186" s="117"/>
      <c r="P186" s="117"/>
      <c r="Q186" s="117"/>
      <c r="R186" s="117"/>
      <c r="S186" s="117"/>
      <c r="T186" s="117"/>
      <c r="U186" s="117"/>
      <c r="V186" s="117"/>
      <c r="W186" s="117"/>
      <c r="X186" s="117"/>
      <c r="Y186" s="117"/>
      <c r="Z186" s="117"/>
      <c r="AA186" s="117"/>
      <c r="AB186" s="117"/>
      <c r="AC186" s="117"/>
      <c r="AD186" s="117"/>
      <c r="AE186" s="117"/>
      <c r="AF186" s="117"/>
      <c r="AG186" s="117"/>
      <c r="AH186" s="117"/>
    </row>
    <row r="187" spans="1:34" s="161" customFormat="1" x14ac:dyDescent="0.2">
      <c r="A187" s="157"/>
      <c r="B187" s="274"/>
      <c r="C187" s="117"/>
      <c r="D187" s="117"/>
      <c r="E187" s="117"/>
      <c r="F187" s="117"/>
      <c r="G187" s="117"/>
      <c r="H187" s="160"/>
      <c r="I187" s="117"/>
      <c r="J187" s="117"/>
      <c r="K187" s="117"/>
      <c r="L187" s="117"/>
      <c r="M187" s="117"/>
      <c r="N187" s="117"/>
      <c r="O187" s="117"/>
      <c r="P187" s="117"/>
      <c r="Q187" s="117"/>
      <c r="R187" s="117"/>
      <c r="S187" s="117"/>
      <c r="T187" s="117"/>
      <c r="U187" s="117"/>
      <c r="V187" s="117"/>
      <c r="W187" s="117"/>
      <c r="X187" s="117"/>
      <c r="Y187" s="117"/>
      <c r="Z187" s="117"/>
      <c r="AA187" s="117"/>
      <c r="AB187" s="117"/>
      <c r="AC187" s="117"/>
      <c r="AD187" s="117"/>
      <c r="AE187" s="117"/>
      <c r="AF187" s="117"/>
      <c r="AG187" s="117"/>
      <c r="AH187" s="117"/>
    </row>
    <row r="188" spans="1:34" s="161" customFormat="1" x14ac:dyDescent="0.2">
      <c r="A188" s="157"/>
      <c r="B188" s="274"/>
      <c r="C188" s="117"/>
      <c r="D188" s="117"/>
      <c r="E188" s="117"/>
      <c r="F188" s="117"/>
      <c r="G188" s="117"/>
      <c r="H188" s="160"/>
      <c r="I188" s="117"/>
      <c r="J188" s="117"/>
      <c r="K188" s="117"/>
      <c r="L188" s="117"/>
      <c r="M188" s="117"/>
      <c r="N188" s="117"/>
      <c r="O188" s="117"/>
      <c r="P188" s="117"/>
      <c r="Q188" s="117"/>
      <c r="R188" s="117"/>
      <c r="S188" s="117"/>
      <c r="T188" s="117"/>
      <c r="U188" s="117"/>
      <c r="V188" s="117"/>
      <c r="W188" s="117"/>
      <c r="X188" s="117"/>
      <c r="Y188" s="117"/>
      <c r="Z188" s="117"/>
      <c r="AA188" s="117"/>
      <c r="AB188" s="117"/>
      <c r="AC188" s="117"/>
      <c r="AD188" s="117"/>
      <c r="AE188" s="117"/>
      <c r="AF188" s="117"/>
      <c r="AG188" s="117"/>
      <c r="AH188" s="117"/>
    </row>
    <row r="189" spans="1:34" s="161" customFormat="1" ht="15" customHeight="1" x14ac:dyDescent="0.2">
      <c r="A189" s="157"/>
      <c r="B189" s="274"/>
      <c r="C189" s="117"/>
      <c r="D189" s="117"/>
      <c r="E189" s="117"/>
      <c r="F189" s="117"/>
      <c r="G189" s="117"/>
      <c r="H189" s="160"/>
      <c r="I189" s="117"/>
      <c r="J189" s="117"/>
      <c r="K189" s="117"/>
      <c r="L189" s="117"/>
      <c r="M189" s="117"/>
      <c r="N189" s="117"/>
      <c r="O189" s="117"/>
      <c r="P189" s="117"/>
      <c r="Q189" s="117"/>
      <c r="R189" s="117"/>
      <c r="S189" s="117"/>
      <c r="T189" s="117"/>
      <c r="U189" s="117"/>
      <c r="V189" s="117"/>
      <c r="W189" s="117"/>
      <c r="X189" s="117"/>
      <c r="Y189" s="117"/>
      <c r="Z189" s="117"/>
      <c r="AA189" s="117"/>
      <c r="AB189" s="117"/>
      <c r="AC189" s="117"/>
      <c r="AD189" s="117"/>
      <c r="AE189" s="117"/>
      <c r="AF189" s="117"/>
      <c r="AG189" s="117"/>
      <c r="AH189" s="117"/>
    </row>
    <row r="190" spans="1:34" s="161" customFormat="1" x14ac:dyDescent="0.2">
      <c r="A190" s="157"/>
      <c r="B190" s="274"/>
      <c r="C190" s="117"/>
      <c r="D190" s="117"/>
      <c r="E190" s="117"/>
      <c r="F190" s="117"/>
      <c r="G190" s="117"/>
      <c r="H190" s="160"/>
      <c r="I190" s="117"/>
      <c r="J190" s="117"/>
      <c r="K190" s="117"/>
      <c r="L190" s="117"/>
      <c r="M190" s="117"/>
      <c r="N190" s="117"/>
      <c r="O190" s="117"/>
      <c r="P190" s="117"/>
      <c r="Q190" s="117"/>
      <c r="R190" s="117"/>
      <c r="S190" s="117"/>
      <c r="T190" s="117"/>
      <c r="U190" s="117"/>
      <c r="V190" s="117"/>
      <c r="W190" s="117"/>
      <c r="X190" s="117"/>
      <c r="Y190" s="117"/>
      <c r="Z190" s="117"/>
      <c r="AA190" s="117"/>
      <c r="AB190" s="117"/>
      <c r="AC190" s="117"/>
      <c r="AD190" s="117"/>
      <c r="AE190" s="117"/>
      <c r="AF190" s="117"/>
      <c r="AG190" s="117"/>
      <c r="AH190" s="117"/>
    </row>
    <row r="191" spans="1:34" s="161" customFormat="1" x14ac:dyDescent="0.2">
      <c r="A191" s="157"/>
      <c r="B191" s="274"/>
      <c r="C191" s="117"/>
      <c r="D191" s="117"/>
      <c r="E191" s="117"/>
      <c r="F191" s="117"/>
      <c r="G191" s="117"/>
      <c r="H191" s="160"/>
      <c r="I191" s="117"/>
      <c r="J191" s="117"/>
      <c r="K191" s="117"/>
      <c r="L191" s="117"/>
      <c r="M191" s="117"/>
      <c r="N191" s="117"/>
      <c r="O191" s="117"/>
      <c r="P191" s="117"/>
      <c r="Q191" s="117"/>
      <c r="R191" s="117"/>
      <c r="S191" s="117"/>
      <c r="T191" s="117"/>
      <c r="U191" s="117"/>
      <c r="V191" s="117"/>
      <c r="W191" s="117"/>
      <c r="X191" s="117"/>
      <c r="Y191" s="117"/>
      <c r="Z191" s="117"/>
      <c r="AA191" s="117"/>
      <c r="AB191" s="117"/>
      <c r="AC191" s="117"/>
      <c r="AD191" s="117"/>
      <c r="AE191" s="117"/>
      <c r="AF191" s="117"/>
      <c r="AG191" s="117"/>
      <c r="AH191" s="117"/>
    </row>
    <row r="192" spans="1:34" s="161" customFormat="1" x14ac:dyDescent="0.2">
      <c r="A192" s="157"/>
      <c r="B192" s="274"/>
      <c r="C192" s="117"/>
      <c r="D192" s="117"/>
      <c r="E192" s="117"/>
      <c r="F192" s="117"/>
      <c r="G192" s="117"/>
      <c r="H192" s="160"/>
      <c r="I192" s="117"/>
      <c r="J192" s="117"/>
      <c r="K192" s="117"/>
      <c r="L192" s="117"/>
      <c r="M192" s="117"/>
      <c r="N192" s="117"/>
      <c r="O192" s="117"/>
      <c r="P192" s="117"/>
      <c r="Q192" s="117"/>
      <c r="R192" s="117"/>
      <c r="S192" s="117"/>
      <c r="T192" s="117"/>
      <c r="U192" s="117"/>
      <c r="V192" s="117"/>
      <c r="W192" s="117"/>
      <c r="X192" s="117"/>
      <c r="Y192" s="117"/>
      <c r="Z192" s="117"/>
      <c r="AA192" s="117"/>
      <c r="AB192" s="117"/>
      <c r="AC192" s="117"/>
      <c r="AD192" s="117"/>
      <c r="AE192" s="117"/>
      <c r="AF192" s="117"/>
      <c r="AG192" s="117"/>
      <c r="AH192" s="117"/>
    </row>
    <row r="193" spans="1:34" s="161" customFormat="1" x14ac:dyDescent="0.2">
      <c r="A193" s="157"/>
      <c r="B193" s="274"/>
      <c r="C193" s="117"/>
      <c r="D193" s="117"/>
      <c r="E193" s="117"/>
      <c r="F193" s="117"/>
      <c r="G193" s="117"/>
      <c r="H193" s="160"/>
      <c r="I193" s="117"/>
      <c r="J193" s="117"/>
      <c r="K193" s="117"/>
      <c r="L193" s="117"/>
      <c r="M193" s="117"/>
      <c r="N193" s="117"/>
      <c r="O193" s="117"/>
      <c r="P193" s="117"/>
      <c r="Q193" s="117"/>
      <c r="R193" s="117"/>
      <c r="S193" s="117"/>
      <c r="T193" s="117"/>
      <c r="U193" s="117"/>
      <c r="V193" s="117"/>
      <c r="W193" s="117"/>
      <c r="X193" s="117"/>
      <c r="Y193" s="117"/>
      <c r="Z193" s="117"/>
      <c r="AA193" s="117"/>
      <c r="AB193" s="117"/>
      <c r="AC193" s="117"/>
      <c r="AD193" s="117"/>
      <c r="AE193" s="117"/>
      <c r="AF193" s="117"/>
      <c r="AG193" s="117"/>
      <c r="AH193" s="117"/>
    </row>
    <row r="194" spans="1:34" s="161" customFormat="1" x14ac:dyDescent="0.2">
      <c r="A194" s="157"/>
      <c r="B194" s="274"/>
      <c r="C194" s="117"/>
      <c r="D194" s="117"/>
      <c r="E194" s="117"/>
      <c r="F194" s="117"/>
      <c r="G194" s="117"/>
      <c r="H194" s="160"/>
      <c r="I194" s="117"/>
      <c r="J194" s="117"/>
      <c r="K194" s="117"/>
      <c r="L194" s="117"/>
      <c r="M194" s="117"/>
      <c r="N194" s="117"/>
      <c r="O194" s="117"/>
      <c r="P194" s="117"/>
      <c r="Q194" s="117"/>
      <c r="R194" s="117"/>
      <c r="S194" s="117"/>
      <c r="T194" s="117"/>
      <c r="U194" s="117"/>
      <c r="V194" s="117"/>
      <c r="W194" s="117"/>
      <c r="X194" s="117"/>
      <c r="Y194" s="117"/>
      <c r="Z194" s="117"/>
      <c r="AA194" s="117"/>
      <c r="AB194" s="117"/>
      <c r="AC194" s="117"/>
      <c r="AD194" s="117"/>
      <c r="AE194" s="117"/>
      <c r="AF194" s="117"/>
      <c r="AG194" s="117"/>
      <c r="AH194" s="117"/>
    </row>
    <row r="195" spans="1:34" s="161" customFormat="1" x14ac:dyDescent="0.2">
      <c r="A195" s="157"/>
      <c r="B195" s="274"/>
      <c r="C195" s="117"/>
      <c r="D195" s="117"/>
      <c r="E195" s="117"/>
      <c r="F195" s="117"/>
      <c r="G195" s="117"/>
      <c r="H195" s="160"/>
      <c r="I195" s="117"/>
      <c r="J195" s="117"/>
      <c r="K195" s="117"/>
      <c r="L195" s="117"/>
      <c r="M195" s="117"/>
      <c r="N195" s="117"/>
      <c r="O195" s="117"/>
      <c r="P195" s="117"/>
      <c r="Q195" s="117"/>
      <c r="R195" s="117"/>
      <c r="S195" s="117"/>
      <c r="T195" s="117"/>
      <c r="U195" s="117"/>
      <c r="V195" s="117"/>
      <c r="W195" s="117"/>
      <c r="X195" s="117"/>
      <c r="Y195" s="117"/>
      <c r="Z195" s="117"/>
      <c r="AA195" s="117"/>
      <c r="AB195" s="117"/>
      <c r="AC195" s="117"/>
      <c r="AD195" s="117"/>
      <c r="AE195" s="117"/>
      <c r="AF195" s="117"/>
      <c r="AG195" s="117"/>
      <c r="AH195" s="117"/>
    </row>
    <row r="196" spans="1:34" s="161" customFormat="1" x14ac:dyDescent="0.2">
      <c r="A196" s="157"/>
      <c r="B196" s="274"/>
      <c r="C196" s="117"/>
      <c r="D196" s="117"/>
      <c r="E196" s="117"/>
      <c r="F196" s="117"/>
      <c r="G196" s="117"/>
      <c r="H196" s="160"/>
      <c r="I196" s="117"/>
      <c r="J196" s="117"/>
      <c r="K196" s="117"/>
      <c r="L196" s="117"/>
      <c r="M196" s="117"/>
      <c r="N196" s="117"/>
      <c r="O196" s="117"/>
      <c r="P196" s="117"/>
      <c r="Q196" s="117"/>
      <c r="R196" s="117"/>
      <c r="S196" s="117"/>
      <c r="T196" s="117"/>
      <c r="U196" s="117"/>
      <c r="V196" s="117"/>
      <c r="W196" s="117"/>
      <c r="X196" s="117"/>
      <c r="Y196" s="117"/>
      <c r="Z196" s="117"/>
      <c r="AA196" s="117"/>
      <c r="AB196" s="117"/>
      <c r="AC196" s="117"/>
      <c r="AD196" s="117"/>
      <c r="AE196" s="117"/>
      <c r="AF196" s="117"/>
      <c r="AG196" s="117"/>
      <c r="AH196" s="117"/>
    </row>
    <row r="197" spans="1:34" s="161" customFormat="1" x14ac:dyDescent="0.2">
      <c r="A197" s="157"/>
      <c r="B197" s="274"/>
      <c r="C197" s="117"/>
      <c r="D197" s="117"/>
      <c r="E197" s="117"/>
      <c r="F197" s="117"/>
      <c r="G197" s="117"/>
      <c r="H197" s="160"/>
      <c r="I197" s="117"/>
      <c r="J197" s="117"/>
      <c r="K197" s="117"/>
      <c r="L197" s="117"/>
      <c r="M197" s="117"/>
      <c r="N197" s="117"/>
      <c r="O197" s="117"/>
      <c r="P197" s="117"/>
      <c r="Q197" s="117"/>
      <c r="R197" s="117"/>
      <c r="S197" s="117"/>
      <c r="T197" s="117"/>
      <c r="U197" s="117"/>
      <c r="V197" s="117"/>
      <c r="W197" s="117"/>
      <c r="X197" s="117"/>
      <c r="Y197" s="117"/>
      <c r="Z197" s="117"/>
      <c r="AA197" s="117"/>
      <c r="AB197" s="117"/>
      <c r="AC197" s="117"/>
      <c r="AD197" s="117"/>
      <c r="AE197" s="117"/>
      <c r="AF197" s="117"/>
      <c r="AG197" s="117"/>
      <c r="AH197" s="117"/>
    </row>
    <row r="198" spans="1:34" s="161" customFormat="1" x14ac:dyDescent="0.2">
      <c r="A198" s="157"/>
      <c r="B198" s="274"/>
      <c r="C198" s="117"/>
      <c r="D198" s="117"/>
      <c r="E198" s="117"/>
      <c r="F198" s="117"/>
      <c r="G198" s="117"/>
      <c r="H198" s="160"/>
      <c r="I198" s="117"/>
      <c r="J198" s="117"/>
      <c r="K198" s="117"/>
      <c r="L198" s="117"/>
      <c r="M198" s="117"/>
      <c r="N198" s="117"/>
      <c r="O198" s="117"/>
      <c r="P198" s="117"/>
      <c r="Q198" s="117"/>
      <c r="R198" s="117"/>
      <c r="S198" s="117"/>
      <c r="T198" s="117"/>
      <c r="U198" s="117"/>
      <c r="V198" s="117"/>
      <c r="W198" s="117"/>
      <c r="X198" s="117"/>
      <c r="Y198" s="117"/>
      <c r="Z198" s="117"/>
      <c r="AA198" s="117"/>
      <c r="AB198" s="117"/>
      <c r="AC198" s="117"/>
      <c r="AD198" s="117"/>
      <c r="AE198" s="117"/>
      <c r="AF198" s="117"/>
      <c r="AG198" s="117"/>
      <c r="AH198" s="117"/>
    </row>
    <row r="199" spans="1:34" s="161" customFormat="1" x14ac:dyDescent="0.2">
      <c r="A199" s="157"/>
      <c r="B199" s="274"/>
      <c r="C199" s="117"/>
      <c r="D199" s="117"/>
      <c r="E199" s="117"/>
      <c r="F199" s="117"/>
      <c r="G199" s="117"/>
      <c r="H199" s="160"/>
      <c r="I199" s="117"/>
      <c r="J199" s="117"/>
      <c r="K199" s="117"/>
      <c r="L199" s="117"/>
      <c r="M199" s="117"/>
      <c r="N199" s="117"/>
      <c r="O199" s="117"/>
      <c r="P199" s="117"/>
      <c r="Q199" s="117"/>
      <c r="R199" s="117"/>
      <c r="S199" s="117"/>
      <c r="T199" s="117"/>
      <c r="U199" s="117"/>
      <c r="V199" s="117"/>
      <c r="W199" s="117"/>
      <c r="X199" s="117"/>
      <c r="Y199" s="117"/>
      <c r="Z199" s="117"/>
      <c r="AA199" s="117"/>
      <c r="AB199" s="117"/>
      <c r="AC199" s="117"/>
      <c r="AD199" s="117"/>
      <c r="AE199" s="117"/>
      <c r="AF199" s="117"/>
      <c r="AG199" s="117"/>
      <c r="AH199" s="117"/>
    </row>
    <row r="200" spans="1:34" s="161" customFormat="1" x14ac:dyDescent="0.2">
      <c r="A200" s="157"/>
      <c r="B200" s="274"/>
      <c r="C200" s="117"/>
      <c r="D200" s="117"/>
      <c r="E200" s="117"/>
      <c r="F200" s="117"/>
      <c r="G200" s="117"/>
      <c r="H200" s="160"/>
      <c r="I200" s="117"/>
      <c r="J200" s="117"/>
      <c r="K200" s="117"/>
      <c r="L200" s="117"/>
      <c r="M200" s="117"/>
      <c r="N200" s="117"/>
      <c r="O200" s="117"/>
      <c r="P200" s="117"/>
      <c r="Q200" s="117"/>
      <c r="R200" s="117"/>
      <c r="S200" s="117"/>
      <c r="T200" s="117"/>
      <c r="U200" s="117"/>
      <c r="V200" s="117"/>
      <c r="W200" s="117"/>
      <c r="X200" s="117"/>
      <c r="Y200" s="117"/>
      <c r="Z200" s="117"/>
      <c r="AA200" s="117"/>
      <c r="AB200" s="117"/>
      <c r="AC200" s="117"/>
      <c r="AD200" s="117"/>
      <c r="AE200" s="117"/>
      <c r="AF200" s="117"/>
      <c r="AG200" s="117"/>
      <c r="AH200" s="117"/>
    </row>
    <row r="201" spans="1:34" s="161" customFormat="1" x14ac:dyDescent="0.2">
      <c r="A201" s="157"/>
      <c r="B201" s="274"/>
      <c r="C201" s="117"/>
      <c r="D201" s="117"/>
      <c r="E201" s="117"/>
      <c r="F201" s="117"/>
      <c r="G201" s="117"/>
      <c r="H201" s="160"/>
      <c r="I201" s="117"/>
      <c r="J201" s="117"/>
      <c r="K201" s="117"/>
      <c r="L201" s="117"/>
      <c r="M201" s="117"/>
      <c r="N201" s="117"/>
      <c r="O201" s="117"/>
      <c r="P201" s="117"/>
      <c r="Q201" s="117"/>
      <c r="R201" s="117"/>
      <c r="S201" s="117"/>
      <c r="T201" s="117"/>
      <c r="U201" s="117"/>
      <c r="V201" s="117"/>
      <c r="W201" s="117"/>
      <c r="X201" s="117"/>
      <c r="Y201" s="117"/>
      <c r="Z201" s="117"/>
      <c r="AA201" s="117"/>
      <c r="AB201" s="117"/>
      <c r="AC201" s="117"/>
      <c r="AD201" s="117"/>
      <c r="AE201" s="117"/>
      <c r="AF201" s="117"/>
      <c r="AG201" s="117"/>
      <c r="AH201" s="117"/>
    </row>
    <row r="202" spans="1:34" s="161" customFormat="1" x14ac:dyDescent="0.2">
      <c r="A202" s="157"/>
      <c r="B202" s="274"/>
      <c r="C202" s="117"/>
      <c r="D202" s="117"/>
      <c r="E202" s="117"/>
      <c r="F202" s="117"/>
      <c r="G202" s="117"/>
      <c r="H202" s="160"/>
      <c r="I202" s="117"/>
      <c r="J202" s="117"/>
      <c r="K202" s="117"/>
      <c r="L202" s="117"/>
      <c r="M202" s="117"/>
      <c r="N202" s="117"/>
      <c r="O202" s="117"/>
      <c r="P202" s="117"/>
      <c r="Q202" s="117"/>
      <c r="R202" s="117"/>
      <c r="S202" s="117"/>
      <c r="T202" s="117"/>
      <c r="U202" s="117"/>
      <c r="V202" s="117"/>
      <c r="W202" s="117"/>
      <c r="X202" s="117"/>
      <c r="Y202" s="117"/>
      <c r="Z202" s="117"/>
      <c r="AA202" s="117"/>
      <c r="AB202" s="117"/>
      <c r="AC202" s="117"/>
      <c r="AD202" s="117"/>
      <c r="AE202" s="117"/>
      <c r="AF202" s="117"/>
      <c r="AG202" s="117"/>
      <c r="AH202" s="117"/>
    </row>
    <row r="203" spans="1:34" s="161" customFormat="1" x14ac:dyDescent="0.2">
      <c r="A203" s="157"/>
      <c r="B203" s="274"/>
      <c r="C203" s="117"/>
      <c r="D203" s="117"/>
      <c r="E203" s="117"/>
      <c r="F203" s="117"/>
      <c r="G203" s="117"/>
      <c r="H203" s="160"/>
      <c r="I203" s="117"/>
      <c r="J203" s="117"/>
      <c r="K203" s="117"/>
      <c r="L203" s="117"/>
      <c r="M203" s="117"/>
      <c r="N203" s="117"/>
      <c r="O203" s="117"/>
      <c r="P203" s="117"/>
      <c r="Q203" s="117"/>
      <c r="R203" s="117"/>
      <c r="S203" s="117"/>
      <c r="T203" s="117"/>
      <c r="U203" s="117"/>
      <c r="V203" s="117"/>
      <c r="W203" s="117"/>
      <c r="X203" s="117"/>
      <c r="Y203" s="117"/>
      <c r="Z203" s="117"/>
      <c r="AA203" s="117"/>
      <c r="AB203" s="117"/>
      <c r="AC203" s="117"/>
      <c r="AD203" s="117"/>
      <c r="AE203" s="117"/>
      <c r="AF203" s="117"/>
      <c r="AG203" s="117"/>
      <c r="AH203" s="117"/>
    </row>
    <row r="204" spans="1:34" s="161" customFormat="1" x14ac:dyDescent="0.2">
      <c r="A204" s="157"/>
      <c r="B204" s="274"/>
      <c r="C204" s="117"/>
      <c r="D204" s="117"/>
      <c r="E204" s="117"/>
      <c r="F204" s="117"/>
      <c r="G204" s="117"/>
      <c r="H204" s="160"/>
      <c r="I204" s="117"/>
      <c r="J204" s="117"/>
      <c r="K204" s="117"/>
      <c r="L204" s="117"/>
      <c r="M204" s="117"/>
      <c r="N204" s="117"/>
      <c r="O204" s="117"/>
      <c r="P204" s="117"/>
      <c r="Q204" s="117"/>
      <c r="R204" s="117"/>
      <c r="S204" s="117"/>
      <c r="T204" s="117"/>
      <c r="U204" s="117"/>
      <c r="V204" s="117"/>
      <c r="W204" s="117"/>
      <c r="X204" s="117"/>
      <c r="Y204" s="117"/>
      <c r="Z204" s="117"/>
      <c r="AA204" s="117"/>
      <c r="AB204" s="117"/>
      <c r="AC204" s="117"/>
      <c r="AD204" s="117"/>
      <c r="AE204" s="117"/>
      <c r="AF204" s="117"/>
      <c r="AG204" s="117"/>
      <c r="AH204" s="117"/>
    </row>
    <row r="205" spans="1:34" s="161" customFormat="1" x14ac:dyDescent="0.2">
      <c r="A205" s="157"/>
      <c r="B205" s="274"/>
      <c r="C205" s="117"/>
      <c r="D205" s="117"/>
      <c r="E205" s="117"/>
      <c r="F205" s="117"/>
      <c r="G205" s="117"/>
      <c r="H205" s="160"/>
      <c r="I205" s="117"/>
      <c r="J205" s="117"/>
      <c r="K205" s="117"/>
      <c r="L205" s="117"/>
      <c r="M205" s="117"/>
      <c r="N205" s="117"/>
      <c r="O205" s="117"/>
      <c r="P205" s="117"/>
      <c r="Q205" s="117"/>
      <c r="R205" s="117"/>
      <c r="S205" s="117"/>
      <c r="T205" s="117"/>
      <c r="U205" s="117"/>
      <c r="V205" s="117"/>
      <c r="W205" s="117"/>
      <c r="X205" s="117"/>
      <c r="Y205" s="117"/>
      <c r="Z205" s="117"/>
      <c r="AA205" s="117"/>
      <c r="AB205" s="117"/>
      <c r="AC205" s="117"/>
      <c r="AD205" s="117"/>
      <c r="AE205" s="117"/>
      <c r="AF205" s="117"/>
      <c r="AG205" s="117"/>
      <c r="AH205" s="117"/>
    </row>
    <row r="206" spans="1:34" s="161" customFormat="1" x14ac:dyDescent="0.2">
      <c r="A206" s="157"/>
      <c r="B206" s="274"/>
      <c r="C206" s="117"/>
      <c r="D206" s="117"/>
      <c r="E206" s="117"/>
      <c r="F206" s="117"/>
      <c r="G206" s="117"/>
      <c r="H206" s="160"/>
      <c r="I206" s="117"/>
      <c r="J206" s="117"/>
      <c r="K206" s="117"/>
      <c r="L206" s="117"/>
      <c r="M206" s="117"/>
      <c r="N206" s="117"/>
      <c r="O206" s="117"/>
      <c r="P206" s="117"/>
      <c r="Q206" s="117"/>
      <c r="R206" s="117"/>
      <c r="S206" s="117"/>
      <c r="T206" s="117"/>
      <c r="U206" s="117"/>
      <c r="V206" s="117"/>
      <c r="W206" s="117"/>
      <c r="X206" s="117"/>
      <c r="Y206" s="117"/>
      <c r="Z206" s="117"/>
      <c r="AA206" s="117"/>
      <c r="AB206" s="117"/>
      <c r="AC206" s="117"/>
      <c r="AD206" s="117"/>
      <c r="AE206" s="117"/>
      <c r="AF206" s="117"/>
      <c r="AG206" s="117"/>
      <c r="AH206" s="117"/>
    </row>
    <row r="207" spans="1:34" s="161" customFormat="1" x14ac:dyDescent="0.2">
      <c r="A207" s="157"/>
      <c r="B207" s="274"/>
      <c r="C207" s="117"/>
      <c r="D207" s="117"/>
      <c r="E207" s="117"/>
      <c r="F207" s="117"/>
      <c r="G207" s="117"/>
      <c r="H207" s="160"/>
      <c r="I207" s="117"/>
      <c r="J207" s="117"/>
      <c r="K207" s="117"/>
      <c r="L207" s="117"/>
      <c r="M207" s="117"/>
      <c r="N207" s="117"/>
      <c r="O207" s="117"/>
      <c r="P207" s="117"/>
      <c r="Q207" s="117"/>
      <c r="R207" s="117"/>
      <c r="S207" s="117"/>
      <c r="T207" s="117"/>
      <c r="U207" s="117"/>
      <c r="V207" s="117"/>
      <c r="W207" s="117"/>
      <c r="X207" s="117"/>
      <c r="Y207" s="117"/>
      <c r="Z207" s="117"/>
      <c r="AA207" s="117"/>
      <c r="AB207" s="117"/>
      <c r="AC207" s="117"/>
      <c r="AD207" s="117"/>
      <c r="AE207" s="117"/>
      <c r="AF207" s="117"/>
      <c r="AG207" s="117"/>
      <c r="AH207" s="117"/>
    </row>
    <row r="208" spans="1:34" s="161" customFormat="1" x14ac:dyDescent="0.2">
      <c r="A208" s="157"/>
      <c r="B208" s="274"/>
      <c r="C208" s="117"/>
      <c r="D208" s="117"/>
      <c r="E208" s="117"/>
      <c r="F208" s="117"/>
      <c r="G208" s="117"/>
      <c r="H208" s="160"/>
      <c r="I208" s="117"/>
      <c r="J208" s="117"/>
      <c r="K208" s="117"/>
      <c r="L208" s="117"/>
      <c r="M208" s="117"/>
      <c r="N208" s="117"/>
      <c r="O208" s="117"/>
      <c r="P208" s="117"/>
      <c r="Q208" s="117"/>
      <c r="R208" s="117"/>
      <c r="S208" s="117"/>
      <c r="T208" s="117"/>
      <c r="U208" s="117"/>
      <c r="V208" s="117"/>
      <c r="W208" s="117"/>
      <c r="X208" s="117"/>
      <c r="Y208" s="117"/>
      <c r="Z208" s="117"/>
      <c r="AA208" s="117"/>
      <c r="AB208" s="117"/>
      <c r="AC208" s="117"/>
      <c r="AD208" s="117"/>
      <c r="AE208" s="117"/>
      <c r="AF208" s="117"/>
      <c r="AG208" s="117"/>
      <c r="AH208" s="117"/>
    </row>
    <row r="209" spans="1:34" s="161" customFormat="1" x14ac:dyDescent="0.2">
      <c r="A209" s="157"/>
      <c r="B209" s="274"/>
      <c r="C209" s="117"/>
      <c r="D209" s="117"/>
      <c r="E209" s="117"/>
      <c r="F209" s="117"/>
      <c r="G209" s="117"/>
      <c r="H209" s="160"/>
      <c r="I209" s="117"/>
      <c r="J209" s="117"/>
      <c r="K209" s="117"/>
      <c r="L209" s="117"/>
      <c r="M209" s="117"/>
      <c r="N209" s="117"/>
      <c r="O209" s="117"/>
      <c r="P209" s="117"/>
      <c r="Q209" s="117"/>
      <c r="R209" s="117"/>
      <c r="S209" s="117"/>
      <c r="T209" s="117"/>
      <c r="U209" s="117"/>
      <c r="V209" s="117"/>
      <c r="W209" s="117"/>
      <c r="X209" s="117"/>
      <c r="Y209" s="117"/>
      <c r="Z209" s="117"/>
      <c r="AA209" s="117"/>
      <c r="AB209" s="117"/>
      <c r="AC209" s="117"/>
      <c r="AD209" s="117"/>
      <c r="AE209" s="117"/>
      <c r="AF209" s="117"/>
      <c r="AG209" s="117"/>
      <c r="AH209" s="117"/>
    </row>
    <row r="210" spans="1:34" s="161" customFormat="1" ht="15" customHeight="1" x14ac:dyDescent="0.2">
      <c r="A210" s="157"/>
      <c r="B210" s="274"/>
      <c r="C210" s="117"/>
      <c r="D210" s="117"/>
      <c r="E210" s="117"/>
      <c r="F210" s="117"/>
      <c r="G210" s="117"/>
      <c r="H210" s="160"/>
      <c r="I210" s="117"/>
      <c r="J210" s="117"/>
      <c r="K210" s="117"/>
      <c r="L210" s="117"/>
      <c r="M210" s="117"/>
      <c r="N210" s="117"/>
      <c r="O210" s="117"/>
      <c r="P210" s="117"/>
      <c r="Q210" s="117"/>
      <c r="R210" s="117"/>
      <c r="S210" s="117"/>
      <c r="T210" s="117"/>
      <c r="U210" s="117"/>
      <c r="V210" s="117"/>
      <c r="W210" s="117"/>
      <c r="X210" s="117"/>
      <c r="Y210" s="117"/>
      <c r="Z210" s="117"/>
      <c r="AA210" s="117"/>
      <c r="AB210" s="117"/>
      <c r="AC210" s="117"/>
      <c r="AD210" s="117"/>
      <c r="AE210" s="117"/>
      <c r="AF210" s="117"/>
      <c r="AG210" s="117"/>
      <c r="AH210" s="117"/>
    </row>
    <row r="211" spans="1:34" s="161" customFormat="1" x14ac:dyDescent="0.2">
      <c r="A211" s="157"/>
      <c r="B211" s="274"/>
      <c r="C211" s="117"/>
      <c r="D211" s="117"/>
      <c r="E211" s="117"/>
      <c r="F211" s="117"/>
      <c r="G211" s="117"/>
      <c r="H211" s="160"/>
      <c r="I211" s="117"/>
      <c r="J211" s="117"/>
      <c r="K211" s="117"/>
      <c r="L211" s="117"/>
      <c r="M211" s="117"/>
      <c r="N211" s="117"/>
      <c r="O211" s="117"/>
      <c r="P211" s="117"/>
      <c r="Q211" s="117"/>
      <c r="R211" s="117"/>
      <c r="S211" s="117"/>
      <c r="T211" s="117"/>
      <c r="U211" s="117"/>
      <c r="V211" s="117"/>
      <c r="W211" s="117"/>
      <c r="X211" s="117"/>
      <c r="Y211" s="117"/>
      <c r="Z211" s="117"/>
      <c r="AA211" s="117"/>
      <c r="AB211" s="117"/>
      <c r="AC211" s="117"/>
      <c r="AD211" s="117"/>
      <c r="AE211" s="117"/>
      <c r="AF211" s="117"/>
      <c r="AG211" s="117"/>
      <c r="AH211" s="117"/>
    </row>
    <row r="212" spans="1:34" s="161" customFormat="1" x14ac:dyDescent="0.2">
      <c r="A212" s="157"/>
      <c r="B212" s="274"/>
      <c r="C212" s="117"/>
      <c r="D212" s="117"/>
      <c r="E212" s="117"/>
      <c r="F212" s="117"/>
      <c r="G212" s="117"/>
      <c r="H212" s="160"/>
      <c r="I212" s="117"/>
      <c r="J212" s="117"/>
      <c r="K212" s="117"/>
      <c r="L212" s="117"/>
      <c r="M212" s="117"/>
      <c r="N212" s="117"/>
      <c r="O212" s="117"/>
      <c r="P212" s="117"/>
      <c r="Q212" s="117"/>
      <c r="R212" s="117"/>
      <c r="S212" s="117"/>
      <c r="T212" s="117"/>
      <c r="U212" s="117"/>
      <c r="V212" s="117"/>
      <c r="W212" s="117"/>
      <c r="X212" s="117"/>
      <c r="Y212" s="117"/>
      <c r="Z212" s="117"/>
      <c r="AA212" s="117"/>
      <c r="AB212" s="117"/>
      <c r="AC212" s="117"/>
      <c r="AD212" s="117"/>
      <c r="AE212" s="117"/>
      <c r="AF212" s="117"/>
      <c r="AG212" s="117"/>
      <c r="AH212" s="117"/>
    </row>
    <row r="213" spans="1:34" s="161" customFormat="1" x14ac:dyDescent="0.2">
      <c r="A213" s="157"/>
      <c r="B213" s="274"/>
      <c r="C213" s="117"/>
      <c r="D213" s="117"/>
      <c r="E213" s="117"/>
      <c r="F213" s="117"/>
      <c r="G213" s="117"/>
      <c r="H213" s="160"/>
      <c r="I213" s="117"/>
      <c r="J213" s="117"/>
      <c r="K213" s="117"/>
      <c r="L213" s="117"/>
      <c r="M213" s="117"/>
      <c r="N213" s="117"/>
      <c r="O213" s="117"/>
      <c r="P213" s="117"/>
      <c r="Q213" s="117"/>
      <c r="R213" s="117"/>
      <c r="S213" s="117"/>
      <c r="T213" s="117"/>
      <c r="U213" s="117"/>
      <c r="V213" s="117"/>
      <c r="W213" s="117"/>
      <c r="X213" s="117"/>
      <c r="Y213" s="117"/>
      <c r="Z213" s="117"/>
      <c r="AA213" s="117"/>
      <c r="AB213" s="117"/>
      <c r="AC213" s="117"/>
      <c r="AD213" s="117"/>
      <c r="AE213" s="117"/>
      <c r="AF213" s="117"/>
      <c r="AG213" s="117"/>
      <c r="AH213" s="117"/>
    </row>
    <row r="214" spans="1:34" s="161" customFormat="1" x14ac:dyDescent="0.2">
      <c r="A214" s="157"/>
      <c r="B214" s="274"/>
      <c r="C214" s="117"/>
      <c r="D214" s="117"/>
      <c r="E214" s="117"/>
      <c r="F214" s="117"/>
      <c r="G214" s="117"/>
      <c r="H214" s="160"/>
      <c r="I214" s="117"/>
      <c r="J214" s="117"/>
      <c r="K214" s="117"/>
      <c r="L214" s="117"/>
      <c r="M214" s="117"/>
      <c r="N214" s="117"/>
      <c r="O214" s="117"/>
      <c r="P214" s="117"/>
      <c r="Q214" s="117"/>
      <c r="R214" s="117"/>
      <c r="S214" s="117"/>
      <c r="T214" s="117"/>
      <c r="U214" s="117"/>
      <c r="V214" s="117"/>
      <c r="W214" s="117"/>
      <c r="X214" s="117"/>
      <c r="Y214" s="117"/>
      <c r="Z214" s="117"/>
      <c r="AA214" s="117"/>
      <c r="AB214" s="117"/>
      <c r="AC214" s="117"/>
      <c r="AD214" s="117"/>
      <c r="AE214" s="117"/>
      <c r="AF214" s="117"/>
      <c r="AG214" s="117"/>
      <c r="AH214" s="117"/>
    </row>
    <row r="215" spans="1:34" s="161" customFormat="1" x14ac:dyDescent="0.2">
      <c r="A215" s="157"/>
      <c r="B215" s="274"/>
      <c r="C215" s="117"/>
      <c r="D215" s="117"/>
      <c r="E215" s="117"/>
      <c r="F215" s="117"/>
      <c r="G215" s="117"/>
      <c r="H215" s="160"/>
      <c r="I215" s="117"/>
      <c r="J215" s="117"/>
      <c r="K215" s="117"/>
      <c r="L215" s="117"/>
      <c r="M215" s="117"/>
      <c r="N215" s="117"/>
      <c r="O215" s="117"/>
      <c r="P215" s="117"/>
      <c r="Q215" s="117"/>
      <c r="R215" s="117"/>
      <c r="S215" s="117"/>
      <c r="T215" s="117"/>
      <c r="U215" s="117"/>
      <c r="V215" s="117"/>
      <c r="W215" s="117"/>
      <c r="X215" s="117"/>
      <c r="Y215" s="117"/>
      <c r="Z215" s="117"/>
      <c r="AA215" s="117"/>
      <c r="AB215" s="117"/>
      <c r="AC215" s="117"/>
      <c r="AD215" s="117"/>
      <c r="AE215" s="117"/>
      <c r="AF215" s="117"/>
      <c r="AG215" s="117"/>
      <c r="AH215" s="117"/>
    </row>
    <row r="216" spans="1:34" s="161" customFormat="1" x14ac:dyDescent="0.2">
      <c r="A216" s="157"/>
      <c r="B216" s="274"/>
      <c r="C216" s="117"/>
      <c r="D216" s="117"/>
      <c r="E216" s="117"/>
      <c r="F216" s="117"/>
      <c r="G216" s="117"/>
      <c r="H216" s="160"/>
      <c r="I216" s="117"/>
      <c r="J216" s="117"/>
      <c r="K216" s="117"/>
      <c r="L216" s="117"/>
      <c r="M216" s="117"/>
      <c r="N216" s="117"/>
      <c r="O216" s="117"/>
      <c r="P216" s="117"/>
      <c r="Q216" s="117"/>
      <c r="R216" s="117"/>
      <c r="S216" s="117"/>
      <c r="T216" s="117"/>
      <c r="U216" s="117"/>
      <c r="V216" s="117"/>
      <c r="W216" s="117"/>
      <c r="X216" s="117"/>
      <c r="Y216" s="117"/>
      <c r="Z216" s="117"/>
      <c r="AA216" s="117"/>
      <c r="AB216" s="117"/>
      <c r="AC216" s="117"/>
      <c r="AD216" s="117"/>
      <c r="AE216" s="117"/>
      <c r="AF216" s="117"/>
      <c r="AG216" s="117"/>
      <c r="AH216" s="117"/>
    </row>
    <row r="217" spans="1:34" s="161" customFormat="1" x14ac:dyDescent="0.2">
      <c r="A217" s="157"/>
      <c r="B217" s="274"/>
      <c r="C217" s="117"/>
      <c r="D217" s="117"/>
      <c r="E217" s="117"/>
      <c r="F217" s="117"/>
      <c r="G217" s="117"/>
      <c r="H217" s="160"/>
      <c r="I217" s="117"/>
      <c r="J217" s="117"/>
      <c r="K217" s="117"/>
      <c r="L217" s="117"/>
      <c r="M217" s="117"/>
      <c r="N217" s="117"/>
      <c r="O217" s="117"/>
      <c r="P217" s="117"/>
      <c r="Q217" s="117"/>
      <c r="R217" s="117"/>
      <c r="S217" s="117"/>
      <c r="T217" s="117"/>
      <c r="U217" s="117"/>
      <c r="V217" s="117"/>
      <c r="W217" s="117"/>
      <c r="X217" s="117"/>
      <c r="Y217" s="117"/>
      <c r="Z217" s="117"/>
      <c r="AA217" s="117"/>
      <c r="AB217" s="117"/>
      <c r="AC217" s="117"/>
      <c r="AD217" s="117"/>
      <c r="AE217" s="117"/>
      <c r="AF217" s="117"/>
      <c r="AG217" s="117"/>
      <c r="AH217" s="117"/>
    </row>
    <row r="218" spans="1:34" s="161" customFormat="1" x14ac:dyDescent="0.2">
      <c r="A218" s="157"/>
      <c r="B218" s="274"/>
      <c r="C218" s="117"/>
      <c r="D218" s="117"/>
      <c r="E218" s="117"/>
      <c r="F218" s="117"/>
      <c r="G218" s="117"/>
      <c r="H218" s="160"/>
      <c r="I218" s="117"/>
      <c r="J218" s="117"/>
      <c r="K218" s="117"/>
      <c r="L218" s="117"/>
      <c r="M218" s="117"/>
      <c r="N218" s="117"/>
      <c r="O218" s="117"/>
      <c r="P218" s="117"/>
      <c r="Q218" s="117"/>
      <c r="R218" s="117"/>
      <c r="S218" s="117"/>
      <c r="T218" s="117"/>
      <c r="U218" s="117"/>
      <c r="V218" s="117"/>
      <c r="W218" s="117"/>
      <c r="X218" s="117"/>
      <c r="Y218" s="117"/>
      <c r="Z218" s="117"/>
      <c r="AA218" s="117"/>
      <c r="AB218" s="117"/>
      <c r="AC218" s="117"/>
      <c r="AD218" s="117"/>
      <c r="AE218" s="117"/>
      <c r="AF218" s="117"/>
      <c r="AG218" s="117"/>
      <c r="AH218" s="117"/>
    </row>
    <row r="219" spans="1:34" s="161" customFormat="1" x14ac:dyDescent="0.2">
      <c r="A219" s="157"/>
      <c r="B219" s="274"/>
      <c r="C219" s="117"/>
      <c r="D219" s="117"/>
      <c r="E219" s="117"/>
      <c r="F219" s="117"/>
      <c r="G219" s="117"/>
      <c r="H219" s="160"/>
      <c r="I219" s="117"/>
      <c r="J219" s="117"/>
      <c r="K219" s="117"/>
      <c r="L219" s="117"/>
      <c r="M219" s="117"/>
      <c r="N219" s="117"/>
      <c r="O219" s="117"/>
      <c r="P219" s="117"/>
      <c r="Q219" s="117"/>
      <c r="R219" s="117"/>
      <c r="S219" s="117"/>
      <c r="T219" s="117"/>
      <c r="U219" s="117"/>
      <c r="V219" s="117"/>
      <c r="W219" s="117"/>
      <c r="X219" s="117"/>
      <c r="Y219" s="117"/>
      <c r="Z219" s="117"/>
      <c r="AA219" s="117"/>
      <c r="AB219" s="117"/>
      <c r="AC219" s="117"/>
      <c r="AD219" s="117"/>
      <c r="AE219" s="117"/>
      <c r="AF219" s="117"/>
      <c r="AG219" s="117"/>
      <c r="AH219" s="117"/>
    </row>
    <row r="220" spans="1:34" s="161" customFormat="1" x14ac:dyDescent="0.2">
      <c r="A220" s="157"/>
      <c r="B220" s="274"/>
      <c r="C220" s="117"/>
      <c r="D220" s="117"/>
      <c r="E220" s="117"/>
      <c r="F220" s="117"/>
      <c r="G220" s="117"/>
      <c r="H220" s="160"/>
      <c r="I220" s="117"/>
      <c r="J220" s="117"/>
      <c r="K220" s="117"/>
      <c r="L220" s="117"/>
      <c r="M220" s="117"/>
      <c r="N220" s="117"/>
      <c r="O220" s="117"/>
      <c r="P220" s="117"/>
      <c r="Q220" s="117"/>
      <c r="R220" s="117"/>
      <c r="S220" s="117"/>
      <c r="T220" s="117"/>
      <c r="U220" s="117"/>
      <c r="V220" s="117"/>
      <c r="W220" s="117"/>
      <c r="X220" s="117"/>
      <c r="Y220" s="117"/>
      <c r="Z220" s="117"/>
      <c r="AA220" s="117"/>
      <c r="AB220" s="117"/>
      <c r="AC220" s="117"/>
      <c r="AD220" s="117"/>
      <c r="AE220" s="117"/>
      <c r="AF220" s="117"/>
      <c r="AG220" s="117"/>
      <c r="AH220" s="117"/>
    </row>
    <row r="221" spans="1:34" s="161" customFormat="1" x14ac:dyDescent="0.2">
      <c r="A221" s="157"/>
      <c r="B221" s="274"/>
      <c r="C221" s="117"/>
      <c r="D221" s="117"/>
      <c r="E221" s="117"/>
      <c r="F221" s="117"/>
      <c r="G221" s="117"/>
      <c r="H221" s="160"/>
      <c r="I221" s="117"/>
      <c r="J221" s="117"/>
      <c r="K221" s="117"/>
      <c r="L221" s="117"/>
      <c r="M221" s="117"/>
      <c r="N221" s="117"/>
      <c r="O221" s="117"/>
      <c r="P221" s="117"/>
      <c r="Q221" s="117"/>
      <c r="R221" s="117"/>
      <c r="S221" s="117"/>
      <c r="T221" s="117"/>
      <c r="U221" s="117"/>
      <c r="V221" s="117"/>
      <c r="W221" s="117"/>
      <c r="X221" s="117"/>
      <c r="Y221" s="117"/>
      <c r="Z221" s="117"/>
      <c r="AA221" s="117"/>
      <c r="AB221" s="117"/>
      <c r="AC221" s="117"/>
      <c r="AD221" s="117"/>
      <c r="AE221" s="117"/>
      <c r="AF221" s="117"/>
      <c r="AG221" s="117"/>
      <c r="AH221" s="117"/>
    </row>
    <row r="222" spans="1:34" s="161" customFormat="1" x14ac:dyDescent="0.2">
      <c r="A222" s="157"/>
      <c r="B222" s="274"/>
      <c r="C222" s="117"/>
      <c r="D222" s="117"/>
      <c r="E222" s="117"/>
      <c r="F222" s="117"/>
      <c r="G222" s="117"/>
      <c r="H222" s="160"/>
      <c r="I222" s="117"/>
      <c r="J222" s="117"/>
      <c r="K222" s="117"/>
      <c r="L222" s="117"/>
      <c r="M222" s="117"/>
      <c r="N222" s="117"/>
      <c r="O222" s="117"/>
      <c r="P222" s="117"/>
      <c r="Q222" s="117"/>
      <c r="R222" s="117"/>
      <c r="S222" s="117"/>
      <c r="T222" s="117"/>
      <c r="U222" s="117"/>
      <c r="V222" s="117"/>
      <c r="W222" s="117"/>
      <c r="X222" s="117"/>
      <c r="Y222" s="117"/>
      <c r="Z222" s="117"/>
      <c r="AA222" s="117"/>
      <c r="AB222" s="117"/>
      <c r="AC222" s="117"/>
      <c r="AD222" s="117"/>
      <c r="AE222" s="117"/>
      <c r="AF222" s="117"/>
      <c r="AG222" s="117"/>
      <c r="AH222" s="117"/>
    </row>
    <row r="223" spans="1:34" s="161" customFormat="1" x14ac:dyDescent="0.2">
      <c r="A223" s="157"/>
      <c r="B223" s="274"/>
      <c r="C223" s="117"/>
      <c r="D223" s="117"/>
      <c r="E223" s="117"/>
      <c r="F223" s="117"/>
      <c r="G223" s="117"/>
      <c r="H223" s="160"/>
      <c r="I223" s="117"/>
      <c r="J223" s="117"/>
      <c r="K223" s="117"/>
      <c r="L223" s="117"/>
      <c r="M223" s="117"/>
      <c r="N223" s="117"/>
      <c r="O223" s="117"/>
      <c r="P223" s="117"/>
      <c r="Q223" s="117"/>
      <c r="R223" s="117"/>
      <c r="S223" s="117"/>
      <c r="T223" s="117"/>
      <c r="U223" s="117"/>
      <c r="V223" s="117"/>
      <c r="W223" s="117"/>
      <c r="X223" s="117"/>
      <c r="Y223" s="117"/>
      <c r="Z223" s="117"/>
      <c r="AA223" s="117"/>
      <c r="AB223" s="117"/>
      <c r="AC223" s="117"/>
      <c r="AD223" s="117"/>
      <c r="AE223" s="117"/>
      <c r="AF223" s="117"/>
      <c r="AG223" s="117"/>
      <c r="AH223" s="117"/>
    </row>
    <row r="224" spans="1:34" s="161" customFormat="1" x14ac:dyDescent="0.2">
      <c r="A224" s="157"/>
      <c r="B224" s="274"/>
      <c r="C224" s="117"/>
      <c r="D224" s="117"/>
      <c r="E224" s="117"/>
      <c r="F224" s="117"/>
      <c r="G224" s="117"/>
      <c r="H224" s="160"/>
      <c r="I224" s="117"/>
      <c r="J224" s="117"/>
      <c r="K224" s="117"/>
      <c r="L224" s="117"/>
      <c r="M224" s="117"/>
      <c r="N224" s="117"/>
      <c r="O224" s="117"/>
      <c r="P224" s="117"/>
      <c r="Q224" s="117"/>
      <c r="R224" s="117"/>
      <c r="S224" s="117"/>
      <c r="T224" s="117"/>
      <c r="U224" s="117"/>
      <c r="V224" s="117"/>
      <c r="W224" s="117"/>
      <c r="X224" s="117"/>
      <c r="Y224" s="117"/>
      <c r="Z224" s="117"/>
      <c r="AA224" s="117"/>
      <c r="AB224" s="117"/>
      <c r="AC224" s="117"/>
      <c r="AD224" s="117"/>
      <c r="AE224" s="117"/>
      <c r="AF224" s="117"/>
      <c r="AG224" s="117"/>
      <c r="AH224" s="117"/>
    </row>
    <row r="225" spans="1:34" s="161" customFormat="1" x14ac:dyDescent="0.2">
      <c r="A225" s="157"/>
      <c r="B225" s="274"/>
      <c r="C225" s="117"/>
      <c r="D225" s="117"/>
      <c r="E225" s="117"/>
      <c r="F225" s="117"/>
      <c r="G225" s="117"/>
      <c r="H225" s="160"/>
      <c r="I225" s="117"/>
      <c r="J225" s="117"/>
      <c r="K225" s="117"/>
      <c r="L225" s="117"/>
      <c r="M225" s="117"/>
      <c r="N225" s="117"/>
      <c r="O225" s="117"/>
      <c r="P225" s="117"/>
      <c r="Q225" s="117"/>
      <c r="R225" s="117"/>
      <c r="S225" s="117"/>
      <c r="T225" s="117"/>
      <c r="U225" s="117"/>
      <c r="V225" s="117"/>
      <c r="W225" s="117"/>
      <c r="X225" s="117"/>
      <c r="Y225" s="117"/>
      <c r="Z225" s="117"/>
      <c r="AA225" s="117"/>
      <c r="AB225" s="117"/>
      <c r="AC225" s="117"/>
      <c r="AD225" s="117"/>
      <c r="AE225" s="117"/>
      <c r="AF225" s="117"/>
      <c r="AG225" s="117"/>
      <c r="AH225" s="117"/>
    </row>
    <row r="226" spans="1:34" s="161" customFormat="1" x14ac:dyDescent="0.2">
      <c r="A226" s="157"/>
      <c r="B226" s="274"/>
      <c r="C226" s="117"/>
      <c r="D226" s="117"/>
      <c r="E226" s="117"/>
      <c r="F226" s="117"/>
      <c r="G226" s="117"/>
      <c r="H226" s="160"/>
      <c r="I226" s="117"/>
      <c r="J226" s="117"/>
      <c r="K226" s="117"/>
      <c r="L226" s="117"/>
      <c r="M226" s="117"/>
      <c r="N226" s="117"/>
      <c r="O226" s="117"/>
      <c r="P226" s="117"/>
      <c r="Q226" s="117"/>
      <c r="R226" s="117"/>
      <c r="S226" s="117"/>
      <c r="T226" s="117"/>
      <c r="U226" s="117"/>
      <c r="V226" s="117"/>
      <c r="W226" s="117"/>
      <c r="X226" s="117"/>
      <c r="Y226" s="117"/>
      <c r="Z226" s="117"/>
      <c r="AA226" s="117"/>
      <c r="AB226" s="117"/>
      <c r="AC226" s="117"/>
      <c r="AD226" s="117"/>
      <c r="AE226" s="117"/>
      <c r="AF226" s="117"/>
      <c r="AG226" s="117"/>
      <c r="AH226" s="117"/>
    </row>
    <row r="227" spans="1:34" s="161" customFormat="1" x14ac:dyDescent="0.2">
      <c r="A227" s="157"/>
      <c r="B227" s="274"/>
      <c r="C227" s="117"/>
      <c r="D227" s="117"/>
      <c r="E227" s="117"/>
      <c r="F227" s="117"/>
      <c r="G227" s="117"/>
      <c r="H227" s="160"/>
      <c r="I227" s="117"/>
      <c r="J227" s="117"/>
      <c r="K227" s="117"/>
      <c r="L227" s="117"/>
      <c r="M227" s="117"/>
      <c r="N227" s="117"/>
      <c r="O227" s="117"/>
      <c r="P227" s="117"/>
      <c r="Q227" s="117"/>
      <c r="R227" s="117"/>
      <c r="S227" s="117"/>
      <c r="T227" s="117"/>
      <c r="U227" s="117"/>
      <c r="V227" s="117"/>
      <c r="W227" s="117"/>
      <c r="X227" s="117"/>
      <c r="Y227" s="117"/>
      <c r="Z227" s="117"/>
      <c r="AA227" s="117"/>
      <c r="AB227" s="117"/>
      <c r="AC227" s="117"/>
      <c r="AD227" s="117"/>
      <c r="AE227" s="117"/>
      <c r="AF227" s="117"/>
      <c r="AG227" s="117"/>
      <c r="AH227" s="117"/>
    </row>
    <row r="228" spans="1:34" s="161" customFormat="1" x14ac:dyDescent="0.2">
      <c r="A228" s="157"/>
      <c r="B228" s="274"/>
      <c r="C228" s="117"/>
      <c r="D228" s="117"/>
      <c r="E228" s="117"/>
      <c r="F228" s="117"/>
      <c r="G228" s="117"/>
      <c r="H228" s="160"/>
      <c r="I228" s="117"/>
      <c r="J228" s="117"/>
      <c r="K228" s="117"/>
      <c r="L228" s="117"/>
      <c r="M228" s="117"/>
      <c r="N228" s="117"/>
      <c r="O228" s="117"/>
      <c r="P228" s="117"/>
      <c r="Q228" s="117"/>
      <c r="R228" s="117"/>
      <c r="S228" s="117"/>
      <c r="T228" s="117"/>
      <c r="U228" s="117"/>
      <c r="V228" s="117"/>
      <c r="W228" s="117"/>
      <c r="X228" s="117"/>
      <c r="Y228" s="117"/>
      <c r="Z228" s="117"/>
      <c r="AA228" s="117"/>
      <c r="AB228" s="117"/>
      <c r="AC228" s="117"/>
      <c r="AD228" s="117"/>
      <c r="AE228" s="117"/>
      <c r="AF228" s="117"/>
      <c r="AG228" s="117"/>
      <c r="AH228" s="117"/>
    </row>
    <row r="229" spans="1:34" s="161" customFormat="1" x14ac:dyDescent="0.2">
      <c r="A229" s="157"/>
      <c r="B229" s="274"/>
      <c r="C229" s="117"/>
      <c r="D229" s="117"/>
      <c r="E229" s="117"/>
      <c r="F229" s="117"/>
      <c r="G229" s="117"/>
      <c r="H229" s="160"/>
      <c r="I229" s="117"/>
      <c r="J229" s="117"/>
      <c r="K229" s="117"/>
      <c r="L229" s="117"/>
      <c r="M229" s="117"/>
      <c r="N229" s="117"/>
      <c r="O229" s="117"/>
      <c r="P229" s="117"/>
      <c r="Q229" s="117"/>
      <c r="R229" s="117"/>
      <c r="S229" s="117"/>
      <c r="T229" s="117"/>
      <c r="U229" s="117"/>
      <c r="V229" s="117"/>
      <c r="W229" s="117"/>
      <c r="X229" s="117"/>
      <c r="Y229" s="117"/>
      <c r="Z229" s="117"/>
      <c r="AA229" s="117"/>
      <c r="AB229" s="117"/>
      <c r="AC229" s="117"/>
      <c r="AD229" s="117"/>
      <c r="AE229" s="117"/>
      <c r="AF229" s="117"/>
      <c r="AG229" s="117"/>
      <c r="AH229" s="117"/>
    </row>
    <row r="230" spans="1:34" s="161" customFormat="1" x14ac:dyDescent="0.2">
      <c r="A230" s="157"/>
      <c r="B230" s="274"/>
      <c r="C230" s="117"/>
      <c r="D230" s="117"/>
      <c r="E230" s="117"/>
      <c r="F230" s="117"/>
      <c r="G230" s="117"/>
      <c r="H230" s="160"/>
      <c r="I230" s="117"/>
      <c r="J230" s="117"/>
      <c r="K230" s="117"/>
      <c r="L230" s="117"/>
      <c r="M230" s="117"/>
      <c r="N230" s="117"/>
      <c r="O230" s="117"/>
      <c r="P230" s="117"/>
      <c r="Q230" s="117"/>
      <c r="R230" s="117"/>
      <c r="S230" s="117"/>
      <c r="T230" s="117"/>
      <c r="U230" s="117"/>
      <c r="V230" s="117"/>
      <c r="W230" s="117"/>
      <c r="X230" s="117"/>
      <c r="Y230" s="117"/>
      <c r="Z230" s="117"/>
      <c r="AA230" s="117"/>
      <c r="AB230" s="117"/>
      <c r="AC230" s="117"/>
      <c r="AD230" s="117"/>
      <c r="AE230" s="117"/>
      <c r="AF230" s="117"/>
      <c r="AG230" s="117"/>
      <c r="AH230" s="117"/>
    </row>
    <row r="231" spans="1:34" s="161" customFormat="1" x14ac:dyDescent="0.2">
      <c r="A231" s="157"/>
      <c r="B231" s="274"/>
      <c r="C231" s="117"/>
      <c r="D231" s="117"/>
      <c r="E231" s="117"/>
      <c r="F231" s="117"/>
      <c r="G231" s="117"/>
      <c r="H231" s="160"/>
      <c r="I231" s="117"/>
      <c r="J231" s="117"/>
      <c r="K231" s="117"/>
      <c r="L231" s="117"/>
      <c r="M231" s="117"/>
      <c r="N231" s="117"/>
      <c r="O231" s="117"/>
      <c r="P231" s="117"/>
      <c r="Q231" s="117"/>
      <c r="R231" s="117"/>
      <c r="S231" s="117"/>
      <c r="T231" s="117"/>
      <c r="U231" s="117"/>
      <c r="V231" s="117"/>
      <c r="W231" s="117"/>
      <c r="X231" s="117"/>
      <c r="Y231" s="117"/>
      <c r="Z231" s="117"/>
      <c r="AA231" s="117"/>
      <c r="AB231" s="117"/>
      <c r="AC231" s="117"/>
      <c r="AD231" s="117"/>
      <c r="AE231" s="117"/>
      <c r="AF231" s="117"/>
      <c r="AG231" s="117"/>
      <c r="AH231" s="117"/>
    </row>
    <row r="232" spans="1:34" s="161" customFormat="1" ht="15" customHeight="1" x14ac:dyDescent="0.2">
      <c r="A232" s="157"/>
      <c r="B232" s="274"/>
      <c r="C232" s="117"/>
      <c r="D232" s="117"/>
      <c r="E232" s="117"/>
      <c r="F232" s="117"/>
      <c r="G232" s="117"/>
      <c r="H232" s="160"/>
      <c r="I232" s="117"/>
      <c r="J232" s="117"/>
      <c r="K232" s="117"/>
      <c r="L232" s="117"/>
      <c r="M232" s="117"/>
      <c r="N232" s="117"/>
      <c r="O232" s="117"/>
      <c r="P232" s="117"/>
      <c r="Q232" s="117"/>
      <c r="R232" s="117"/>
      <c r="S232" s="117"/>
      <c r="T232" s="117"/>
      <c r="U232" s="117"/>
      <c r="V232" s="117"/>
      <c r="W232" s="117"/>
      <c r="X232" s="117"/>
      <c r="Y232" s="117"/>
      <c r="Z232" s="117"/>
      <c r="AA232" s="117"/>
      <c r="AB232" s="117"/>
      <c r="AC232" s="117"/>
      <c r="AD232" s="117"/>
      <c r="AE232" s="117"/>
      <c r="AF232" s="117"/>
      <c r="AG232" s="117"/>
      <c r="AH232" s="117"/>
    </row>
    <row r="233" spans="1:34" s="161" customFormat="1" x14ac:dyDescent="0.2">
      <c r="A233" s="157"/>
      <c r="B233" s="274"/>
      <c r="C233" s="117"/>
      <c r="D233" s="117"/>
      <c r="E233" s="117"/>
      <c r="F233" s="117"/>
      <c r="G233" s="117"/>
      <c r="H233" s="160"/>
      <c r="I233" s="117"/>
      <c r="J233" s="117"/>
      <c r="K233" s="117"/>
      <c r="L233" s="117"/>
      <c r="M233" s="117"/>
      <c r="N233" s="117"/>
      <c r="O233" s="117"/>
      <c r="P233" s="117"/>
      <c r="Q233" s="117"/>
      <c r="R233" s="117"/>
      <c r="S233" s="117"/>
      <c r="T233" s="117"/>
      <c r="U233" s="117"/>
      <c r="V233" s="117"/>
      <c r="W233" s="117"/>
      <c r="X233" s="117"/>
      <c r="Y233" s="117"/>
      <c r="Z233" s="117"/>
      <c r="AA233" s="117"/>
      <c r="AB233" s="117"/>
      <c r="AC233" s="117"/>
      <c r="AD233" s="117"/>
      <c r="AE233" s="117"/>
      <c r="AF233" s="117"/>
      <c r="AG233" s="117"/>
      <c r="AH233" s="117"/>
    </row>
    <row r="234" spans="1:34" s="161" customFormat="1" x14ac:dyDescent="0.2">
      <c r="A234" s="157"/>
      <c r="B234" s="274"/>
      <c r="C234" s="117"/>
      <c r="D234" s="117"/>
      <c r="E234" s="117"/>
      <c r="F234" s="117"/>
      <c r="G234" s="117"/>
      <c r="H234" s="160"/>
      <c r="I234" s="117"/>
      <c r="J234" s="117"/>
      <c r="K234" s="117"/>
      <c r="L234" s="117"/>
      <c r="M234" s="117"/>
      <c r="N234" s="117"/>
      <c r="O234" s="117"/>
      <c r="P234" s="117"/>
      <c r="Q234" s="117"/>
      <c r="R234" s="117"/>
      <c r="S234" s="117"/>
      <c r="T234" s="117"/>
      <c r="U234" s="117"/>
      <c r="V234" s="117"/>
      <c r="W234" s="117"/>
      <c r="X234" s="117"/>
      <c r="Y234" s="117"/>
      <c r="Z234" s="117"/>
      <c r="AA234" s="117"/>
      <c r="AB234" s="117"/>
      <c r="AC234" s="117"/>
      <c r="AD234" s="117"/>
      <c r="AE234" s="117"/>
      <c r="AF234" s="117"/>
      <c r="AG234" s="117"/>
      <c r="AH234" s="117"/>
    </row>
    <row r="235" spans="1:34" s="161" customFormat="1" x14ac:dyDescent="0.2">
      <c r="A235" s="157"/>
      <c r="B235" s="274"/>
      <c r="C235" s="117"/>
      <c r="D235" s="117"/>
      <c r="E235" s="117"/>
      <c r="F235" s="117"/>
      <c r="G235" s="117"/>
      <c r="H235" s="160"/>
      <c r="I235" s="117"/>
      <c r="J235" s="117"/>
      <c r="K235" s="117"/>
      <c r="L235" s="117"/>
      <c r="M235" s="117"/>
      <c r="N235" s="117"/>
      <c r="O235" s="117"/>
      <c r="P235" s="117"/>
      <c r="Q235" s="117"/>
      <c r="R235" s="117"/>
      <c r="S235" s="117"/>
      <c r="T235" s="117"/>
      <c r="U235" s="117"/>
      <c r="V235" s="117"/>
      <c r="W235" s="117"/>
      <c r="X235" s="117"/>
      <c r="Y235" s="117"/>
      <c r="Z235" s="117"/>
      <c r="AA235" s="117"/>
      <c r="AB235" s="117"/>
      <c r="AC235" s="117"/>
      <c r="AD235" s="117"/>
      <c r="AE235" s="117"/>
      <c r="AF235" s="117"/>
      <c r="AG235" s="117"/>
      <c r="AH235" s="117"/>
    </row>
    <row r="236" spans="1:34" s="161" customFormat="1" ht="15" customHeight="1" x14ac:dyDescent="0.2">
      <c r="A236" s="157"/>
      <c r="B236" s="274"/>
      <c r="C236" s="117"/>
      <c r="D236" s="117"/>
      <c r="E236" s="117"/>
      <c r="F236" s="117"/>
      <c r="G236" s="117"/>
      <c r="H236" s="160"/>
      <c r="I236" s="117"/>
      <c r="J236" s="117"/>
      <c r="K236" s="117"/>
      <c r="L236" s="117"/>
      <c r="M236" s="117"/>
      <c r="N236" s="117"/>
      <c r="O236" s="117"/>
      <c r="P236" s="117"/>
      <c r="Q236" s="117"/>
      <c r="R236" s="117"/>
      <c r="S236" s="117"/>
      <c r="T236" s="117"/>
      <c r="U236" s="117"/>
      <c r="V236" s="117"/>
      <c r="W236" s="117"/>
      <c r="X236" s="117"/>
      <c r="Y236" s="117"/>
      <c r="Z236" s="117"/>
      <c r="AA236" s="117"/>
      <c r="AB236" s="117"/>
      <c r="AC236" s="117"/>
      <c r="AD236" s="117"/>
      <c r="AE236" s="117"/>
      <c r="AF236" s="117"/>
      <c r="AG236" s="117"/>
      <c r="AH236" s="117"/>
    </row>
    <row r="237" spans="1:34" s="161" customFormat="1" x14ac:dyDescent="0.2">
      <c r="A237" s="157"/>
      <c r="B237" s="274"/>
      <c r="C237" s="117"/>
      <c r="D237" s="117"/>
      <c r="E237" s="117"/>
      <c r="F237" s="117"/>
      <c r="G237" s="117"/>
      <c r="H237" s="160"/>
      <c r="I237" s="117"/>
      <c r="J237" s="117"/>
      <c r="K237" s="117"/>
      <c r="L237" s="117"/>
      <c r="M237" s="117"/>
      <c r="N237" s="117"/>
      <c r="O237" s="117"/>
      <c r="P237" s="117"/>
      <c r="Q237" s="117"/>
      <c r="R237" s="117"/>
      <c r="S237" s="117"/>
      <c r="T237" s="117"/>
      <c r="U237" s="117"/>
      <c r="V237" s="117"/>
      <c r="W237" s="117"/>
      <c r="X237" s="117"/>
      <c r="Y237" s="117"/>
      <c r="Z237" s="117"/>
      <c r="AA237" s="117"/>
      <c r="AB237" s="117"/>
      <c r="AC237" s="117"/>
      <c r="AD237" s="117"/>
      <c r="AE237" s="117"/>
      <c r="AF237" s="117"/>
      <c r="AG237" s="117"/>
      <c r="AH237" s="117"/>
    </row>
    <row r="238" spans="1:34" s="161" customFormat="1" x14ac:dyDescent="0.2">
      <c r="A238" s="157"/>
      <c r="B238" s="274"/>
      <c r="C238" s="117"/>
      <c r="D238" s="117"/>
      <c r="E238" s="117"/>
      <c r="F238" s="117"/>
      <c r="G238" s="117"/>
      <c r="H238" s="160"/>
      <c r="I238" s="117"/>
      <c r="J238" s="117"/>
      <c r="K238" s="117"/>
      <c r="L238" s="117"/>
      <c r="M238" s="117"/>
      <c r="N238" s="117"/>
      <c r="O238" s="117"/>
      <c r="P238" s="117"/>
      <c r="Q238" s="117"/>
      <c r="R238" s="117"/>
      <c r="S238" s="117"/>
      <c r="T238" s="117"/>
      <c r="U238" s="117"/>
      <c r="V238" s="117"/>
      <c r="W238" s="117"/>
      <c r="X238" s="117"/>
      <c r="Y238" s="117"/>
      <c r="Z238" s="117"/>
      <c r="AA238" s="117"/>
      <c r="AB238" s="117"/>
      <c r="AC238" s="117"/>
      <c r="AD238" s="117"/>
      <c r="AE238" s="117"/>
      <c r="AF238" s="117"/>
      <c r="AG238" s="117"/>
      <c r="AH238" s="117"/>
    </row>
    <row r="239" spans="1:34" s="161" customFormat="1" x14ac:dyDescent="0.2">
      <c r="A239" s="157"/>
      <c r="B239" s="274"/>
      <c r="C239" s="117"/>
      <c r="D239" s="117"/>
      <c r="E239" s="117"/>
      <c r="F239" s="117"/>
      <c r="G239" s="117"/>
      <c r="H239" s="160"/>
      <c r="I239" s="117"/>
      <c r="J239" s="117"/>
      <c r="K239" s="117"/>
      <c r="L239" s="117"/>
      <c r="M239" s="117"/>
      <c r="N239" s="117"/>
      <c r="O239" s="117"/>
      <c r="P239" s="117"/>
      <c r="Q239" s="117"/>
      <c r="R239" s="117"/>
      <c r="S239" s="117"/>
      <c r="T239" s="117"/>
      <c r="U239" s="117"/>
      <c r="V239" s="117"/>
      <c r="W239" s="117"/>
      <c r="X239" s="117"/>
      <c r="Y239" s="117"/>
      <c r="Z239" s="117"/>
      <c r="AA239" s="117"/>
      <c r="AB239" s="117"/>
      <c r="AC239" s="117"/>
      <c r="AD239" s="117"/>
      <c r="AE239" s="117"/>
      <c r="AF239" s="117"/>
      <c r="AG239" s="117"/>
      <c r="AH239" s="117"/>
    </row>
    <row r="240" spans="1:34" s="161" customFormat="1" x14ac:dyDescent="0.2">
      <c r="A240" s="157"/>
      <c r="B240" s="274"/>
      <c r="C240" s="117"/>
      <c r="D240" s="117"/>
      <c r="E240" s="117"/>
      <c r="F240" s="117"/>
      <c r="G240" s="117"/>
      <c r="H240" s="160"/>
      <c r="I240" s="117"/>
      <c r="J240" s="117"/>
      <c r="K240" s="117"/>
      <c r="L240" s="117"/>
      <c r="M240" s="117"/>
      <c r="N240" s="117"/>
      <c r="O240" s="117"/>
      <c r="P240" s="117"/>
      <c r="Q240" s="117"/>
      <c r="R240" s="117"/>
      <c r="S240" s="117"/>
      <c r="T240" s="117"/>
      <c r="U240" s="117"/>
      <c r="V240" s="117"/>
      <c r="W240" s="117"/>
      <c r="X240" s="117"/>
      <c r="Y240" s="117"/>
      <c r="Z240" s="117"/>
      <c r="AA240" s="117"/>
      <c r="AB240" s="117"/>
      <c r="AC240" s="117"/>
      <c r="AD240" s="117"/>
      <c r="AE240" s="117"/>
      <c r="AF240" s="117"/>
      <c r="AG240" s="117"/>
      <c r="AH240" s="117"/>
    </row>
    <row r="241" spans="1:34" s="161" customFormat="1" x14ac:dyDescent="0.2">
      <c r="A241" s="157"/>
      <c r="B241" s="274"/>
      <c r="C241" s="117"/>
      <c r="D241" s="117"/>
      <c r="E241" s="117"/>
      <c r="F241" s="117"/>
      <c r="G241" s="117"/>
      <c r="H241" s="160"/>
      <c r="I241" s="117"/>
      <c r="J241" s="117"/>
      <c r="K241" s="117"/>
      <c r="L241" s="117"/>
      <c r="M241" s="117"/>
      <c r="N241" s="117"/>
      <c r="O241" s="117"/>
      <c r="P241" s="117"/>
      <c r="Q241" s="117"/>
      <c r="R241" s="117"/>
      <c r="S241" s="117"/>
      <c r="T241" s="117"/>
      <c r="U241" s="117"/>
      <c r="V241" s="117"/>
      <c r="W241" s="117"/>
      <c r="X241" s="117"/>
      <c r="Y241" s="117"/>
      <c r="Z241" s="117"/>
      <c r="AA241" s="117"/>
      <c r="AB241" s="117"/>
      <c r="AC241" s="117"/>
      <c r="AD241" s="117"/>
      <c r="AE241" s="117"/>
      <c r="AF241" s="117"/>
      <c r="AG241" s="117"/>
      <c r="AH241" s="117"/>
    </row>
    <row r="242" spans="1:34" s="161" customFormat="1" x14ac:dyDescent="0.2">
      <c r="A242" s="157"/>
      <c r="B242" s="274"/>
      <c r="C242" s="117"/>
      <c r="D242" s="117"/>
      <c r="E242" s="117"/>
      <c r="F242" s="117"/>
      <c r="G242" s="117"/>
      <c r="H242" s="160"/>
      <c r="I242" s="117"/>
      <c r="J242" s="117"/>
      <c r="K242" s="117"/>
      <c r="L242" s="117"/>
      <c r="M242" s="117"/>
      <c r="N242" s="117"/>
      <c r="O242" s="117"/>
      <c r="P242" s="117"/>
      <c r="Q242" s="117"/>
      <c r="R242" s="117"/>
      <c r="S242" s="117"/>
      <c r="T242" s="117"/>
      <c r="U242" s="117"/>
      <c r="V242" s="117"/>
      <c r="W242" s="117"/>
      <c r="X242" s="117"/>
      <c r="Y242" s="117"/>
      <c r="Z242" s="117"/>
      <c r="AA242" s="117"/>
      <c r="AB242" s="117"/>
      <c r="AC242" s="117"/>
      <c r="AD242" s="117"/>
      <c r="AE242" s="117"/>
      <c r="AF242" s="117"/>
      <c r="AG242" s="117"/>
      <c r="AH242" s="117"/>
    </row>
    <row r="243" spans="1:34" s="161" customFormat="1" x14ac:dyDescent="0.2">
      <c r="A243" s="157"/>
      <c r="B243" s="274"/>
      <c r="C243" s="117"/>
      <c r="D243" s="117"/>
      <c r="E243" s="117"/>
      <c r="F243" s="117"/>
      <c r="G243" s="117"/>
      <c r="H243" s="160"/>
      <c r="I243" s="117"/>
      <c r="J243" s="117"/>
      <c r="K243" s="117"/>
      <c r="L243" s="117"/>
      <c r="M243" s="117"/>
      <c r="N243" s="117"/>
      <c r="O243" s="117"/>
      <c r="P243" s="117"/>
      <c r="Q243" s="117"/>
      <c r="R243" s="117"/>
      <c r="S243" s="117"/>
      <c r="T243" s="117"/>
      <c r="U243" s="117"/>
      <c r="V243" s="117"/>
      <c r="W243" s="117"/>
      <c r="X243" s="117"/>
      <c r="Y243" s="117"/>
      <c r="Z243" s="117"/>
      <c r="AA243" s="117"/>
      <c r="AB243" s="117"/>
      <c r="AC243" s="117"/>
      <c r="AD243" s="117"/>
      <c r="AE243" s="117"/>
      <c r="AF243" s="117"/>
      <c r="AG243" s="117"/>
      <c r="AH243" s="117"/>
    </row>
    <row r="244" spans="1:34" s="161" customFormat="1" x14ac:dyDescent="0.2">
      <c r="A244" s="157"/>
      <c r="B244" s="274"/>
      <c r="C244" s="117"/>
      <c r="D244" s="117"/>
      <c r="E244" s="117"/>
      <c r="F244" s="117"/>
      <c r="G244" s="117"/>
      <c r="H244" s="160"/>
      <c r="I244" s="117"/>
      <c r="J244" s="117"/>
      <c r="K244" s="117"/>
      <c r="L244" s="117"/>
      <c r="M244" s="117"/>
      <c r="N244" s="117"/>
      <c r="O244" s="117"/>
      <c r="P244" s="117"/>
      <c r="Q244" s="117"/>
      <c r="R244" s="117"/>
      <c r="S244" s="117"/>
      <c r="T244" s="117"/>
      <c r="U244" s="117"/>
      <c r="V244" s="117"/>
      <c r="W244" s="117"/>
      <c r="X244" s="117"/>
      <c r="Y244" s="117"/>
      <c r="Z244" s="117"/>
      <c r="AA244" s="117"/>
      <c r="AB244" s="117"/>
      <c r="AC244" s="117"/>
      <c r="AD244" s="117"/>
      <c r="AE244" s="117"/>
      <c r="AF244" s="117"/>
      <c r="AG244" s="117"/>
      <c r="AH244" s="117"/>
    </row>
    <row r="245" spans="1:34" s="161" customFormat="1" x14ac:dyDescent="0.2">
      <c r="A245" s="157"/>
      <c r="B245" s="274"/>
      <c r="C245" s="117"/>
      <c r="D245" s="117"/>
      <c r="E245" s="117"/>
      <c r="F245" s="117"/>
      <c r="G245" s="117"/>
      <c r="H245" s="160"/>
      <c r="I245" s="117"/>
      <c r="J245" s="117"/>
      <c r="K245" s="117"/>
      <c r="L245" s="117"/>
      <c r="M245" s="117"/>
      <c r="N245" s="117"/>
      <c r="O245" s="117"/>
      <c r="P245" s="117"/>
      <c r="Q245" s="117"/>
      <c r="R245" s="117"/>
      <c r="S245" s="117"/>
      <c r="T245" s="117"/>
      <c r="U245" s="117"/>
      <c r="V245" s="117"/>
      <c r="W245" s="117"/>
      <c r="X245" s="117"/>
      <c r="Y245" s="117"/>
      <c r="Z245" s="117"/>
      <c r="AA245" s="117"/>
      <c r="AB245" s="117"/>
      <c r="AC245" s="117"/>
      <c r="AD245" s="117"/>
      <c r="AE245" s="117"/>
      <c r="AF245" s="117"/>
      <c r="AG245" s="117"/>
      <c r="AH245" s="117"/>
    </row>
    <row r="246" spans="1:34" s="161" customFormat="1" x14ac:dyDescent="0.2">
      <c r="A246" s="157"/>
      <c r="B246" s="274"/>
      <c r="C246" s="117"/>
      <c r="D246" s="117"/>
      <c r="E246" s="117"/>
      <c r="F246" s="117"/>
      <c r="G246" s="117"/>
      <c r="H246" s="160"/>
      <c r="I246" s="117"/>
      <c r="J246" s="117"/>
      <c r="K246" s="117"/>
      <c r="L246" s="117"/>
      <c r="M246" s="117"/>
      <c r="N246" s="117"/>
      <c r="O246" s="117"/>
      <c r="P246" s="117"/>
      <c r="Q246" s="117"/>
      <c r="R246" s="117"/>
      <c r="S246" s="117"/>
      <c r="T246" s="117"/>
      <c r="U246" s="117"/>
      <c r="V246" s="117"/>
      <c r="W246" s="117"/>
      <c r="X246" s="117"/>
      <c r="Y246" s="117"/>
      <c r="Z246" s="117"/>
      <c r="AA246" s="117"/>
      <c r="AB246" s="117"/>
      <c r="AC246" s="117"/>
      <c r="AD246" s="117"/>
      <c r="AE246" s="117"/>
      <c r="AF246" s="117"/>
      <c r="AG246" s="117"/>
      <c r="AH246" s="117"/>
    </row>
    <row r="247" spans="1:34" s="161" customFormat="1" x14ac:dyDescent="0.2">
      <c r="A247" s="157"/>
      <c r="B247" s="274"/>
      <c r="C247" s="117"/>
      <c r="D247" s="117"/>
      <c r="E247" s="117"/>
      <c r="F247" s="117"/>
      <c r="G247" s="117"/>
      <c r="H247" s="160"/>
      <c r="I247" s="117"/>
      <c r="J247" s="117"/>
      <c r="K247" s="117"/>
      <c r="L247" s="117"/>
      <c r="M247" s="117"/>
      <c r="N247" s="117"/>
      <c r="O247" s="117"/>
      <c r="P247" s="117"/>
      <c r="Q247" s="117"/>
      <c r="R247" s="117"/>
      <c r="S247" s="117"/>
      <c r="T247" s="117"/>
      <c r="U247" s="117"/>
      <c r="V247" s="117"/>
      <c r="W247" s="117"/>
      <c r="X247" s="117"/>
      <c r="Y247" s="117"/>
      <c r="Z247" s="117"/>
      <c r="AA247" s="117"/>
      <c r="AB247" s="117"/>
      <c r="AC247" s="117"/>
      <c r="AD247" s="117"/>
      <c r="AE247" s="117"/>
      <c r="AF247" s="117"/>
      <c r="AG247" s="117"/>
      <c r="AH247" s="117"/>
    </row>
    <row r="248" spans="1:34" s="161" customFormat="1" x14ac:dyDescent="0.2">
      <c r="A248" s="157"/>
      <c r="B248" s="274"/>
      <c r="C248" s="117"/>
      <c r="D248" s="117"/>
      <c r="E248" s="117"/>
      <c r="F248" s="117"/>
      <c r="G248" s="117"/>
      <c r="H248" s="160"/>
      <c r="I248" s="117"/>
      <c r="J248" s="117"/>
      <c r="K248" s="117"/>
      <c r="L248" s="117"/>
      <c r="M248" s="117"/>
      <c r="N248" s="117"/>
      <c r="O248" s="117"/>
      <c r="P248" s="117"/>
      <c r="Q248" s="117"/>
      <c r="R248" s="117"/>
      <c r="S248" s="117"/>
      <c r="T248" s="117"/>
      <c r="U248" s="117"/>
      <c r="V248" s="117"/>
      <c r="W248" s="117"/>
      <c r="X248" s="117"/>
      <c r="Y248" s="117"/>
      <c r="Z248" s="117"/>
      <c r="AA248" s="117"/>
      <c r="AB248" s="117"/>
      <c r="AC248" s="117"/>
      <c r="AD248" s="117"/>
      <c r="AE248" s="117"/>
      <c r="AF248" s="117"/>
      <c r="AG248" s="117"/>
      <c r="AH248" s="117"/>
    </row>
    <row r="249" spans="1:34" s="161" customFormat="1" x14ac:dyDescent="0.2">
      <c r="A249" s="157"/>
      <c r="B249" s="274"/>
      <c r="C249" s="117"/>
      <c r="D249" s="117"/>
      <c r="E249" s="117"/>
      <c r="F249" s="117"/>
      <c r="G249" s="117"/>
      <c r="H249" s="160"/>
      <c r="I249" s="117"/>
      <c r="J249" s="117"/>
      <c r="K249" s="117"/>
      <c r="L249" s="117"/>
      <c r="M249" s="117"/>
      <c r="N249" s="117"/>
      <c r="O249" s="117"/>
      <c r="P249" s="117"/>
      <c r="Q249" s="117"/>
      <c r="R249" s="117"/>
      <c r="S249" s="117"/>
      <c r="T249" s="117"/>
      <c r="U249" s="117"/>
      <c r="V249" s="117"/>
      <c r="W249" s="117"/>
      <c r="X249" s="117"/>
      <c r="Y249" s="117"/>
      <c r="Z249" s="117"/>
      <c r="AA249" s="117"/>
      <c r="AB249" s="117"/>
      <c r="AC249" s="117"/>
      <c r="AD249" s="117"/>
      <c r="AE249" s="117"/>
      <c r="AF249" s="117"/>
      <c r="AG249" s="117"/>
      <c r="AH249" s="117"/>
    </row>
    <row r="250" spans="1:34" s="161" customFormat="1" x14ac:dyDescent="0.2">
      <c r="A250" s="157"/>
      <c r="B250" s="274"/>
      <c r="C250" s="117"/>
      <c r="D250" s="117"/>
      <c r="E250" s="117"/>
      <c r="F250" s="117"/>
      <c r="G250" s="117"/>
      <c r="H250" s="160"/>
      <c r="I250" s="117"/>
      <c r="J250" s="117"/>
      <c r="K250" s="117"/>
      <c r="L250" s="117"/>
      <c r="M250" s="117"/>
      <c r="N250" s="117"/>
      <c r="O250" s="117"/>
      <c r="P250" s="117"/>
      <c r="Q250" s="117"/>
      <c r="R250" s="117"/>
      <c r="S250" s="117"/>
      <c r="T250" s="117"/>
      <c r="U250" s="117"/>
      <c r="V250" s="117"/>
      <c r="W250" s="117"/>
      <c r="X250" s="117"/>
      <c r="Y250" s="117"/>
      <c r="Z250" s="117"/>
      <c r="AA250" s="117"/>
      <c r="AB250" s="117"/>
      <c r="AC250" s="117"/>
      <c r="AD250" s="117"/>
      <c r="AE250" s="117"/>
      <c r="AF250" s="117"/>
      <c r="AG250" s="117"/>
      <c r="AH250" s="117"/>
    </row>
    <row r="251" spans="1:34" s="161" customFormat="1" x14ac:dyDescent="0.2">
      <c r="A251" s="157"/>
      <c r="B251" s="274"/>
      <c r="C251" s="117"/>
      <c r="D251" s="117"/>
      <c r="E251" s="117"/>
      <c r="F251" s="117"/>
      <c r="G251" s="117"/>
      <c r="H251" s="160"/>
      <c r="I251" s="117"/>
      <c r="J251" s="117"/>
      <c r="K251" s="117"/>
      <c r="L251" s="117"/>
      <c r="M251" s="117"/>
      <c r="N251" s="117"/>
      <c r="O251" s="117"/>
      <c r="P251" s="117"/>
      <c r="Q251" s="117"/>
      <c r="R251" s="117"/>
      <c r="S251" s="117"/>
      <c r="T251" s="117"/>
      <c r="U251" s="117"/>
      <c r="V251" s="117"/>
      <c r="W251" s="117"/>
      <c r="X251" s="117"/>
      <c r="Y251" s="117"/>
      <c r="Z251" s="117"/>
      <c r="AA251" s="117"/>
      <c r="AB251" s="117"/>
      <c r="AC251" s="117"/>
      <c r="AD251" s="117"/>
      <c r="AE251" s="117"/>
      <c r="AF251" s="117"/>
      <c r="AG251" s="117"/>
      <c r="AH251" s="117"/>
    </row>
    <row r="252" spans="1:34" s="161" customFormat="1" x14ac:dyDescent="0.2">
      <c r="A252" s="157"/>
      <c r="B252" s="274"/>
      <c r="C252" s="117"/>
      <c r="D252" s="117"/>
      <c r="E252" s="117"/>
      <c r="F252" s="117"/>
      <c r="G252" s="117"/>
      <c r="H252" s="160"/>
      <c r="I252" s="117"/>
      <c r="J252" s="117"/>
      <c r="K252" s="117"/>
      <c r="L252" s="117"/>
      <c r="M252" s="117"/>
      <c r="N252" s="117"/>
      <c r="O252" s="117"/>
      <c r="P252" s="117"/>
      <c r="Q252" s="117"/>
      <c r="R252" s="117"/>
      <c r="S252" s="117"/>
      <c r="T252" s="117"/>
      <c r="U252" s="117"/>
      <c r="V252" s="117"/>
      <c r="W252" s="117"/>
      <c r="X252" s="117"/>
      <c r="Y252" s="117"/>
      <c r="Z252" s="117"/>
      <c r="AA252" s="117"/>
      <c r="AB252" s="117"/>
      <c r="AC252" s="117"/>
      <c r="AD252" s="117"/>
      <c r="AE252" s="117"/>
      <c r="AF252" s="117"/>
      <c r="AG252" s="117"/>
      <c r="AH252" s="117"/>
    </row>
    <row r="253" spans="1:34" s="161" customFormat="1" x14ac:dyDescent="0.2">
      <c r="A253" s="157"/>
      <c r="B253" s="274"/>
      <c r="C253" s="117"/>
      <c r="D253" s="117"/>
      <c r="E253" s="117"/>
      <c r="F253" s="117"/>
      <c r="G253" s="117"/>
      <c r="H253" s="160"/>
      <c r="I253" s="117"/>
      <c r="J253" s="117"/>
      <c r="K253" s="117"/>
      <c r="L253" s="117"/>
      <c r="M253" s="117"/>
      <c r="N253" s="117"/>
      <c r="O253" s="117"/>
      <c r="P253" s="117"/>
      <c r="Q253" s="117"/>
      <c r="R253" s="117"/>
      <c r="S253" s="117"/>
      <c r="T253" s="117"/>
      <c r="U253" s="117"/>
      <c r="V253" s="117"/>
      <c r="W253" s="117"/>
      <c r="X253" s="117"/>
      <c r="Y253" s="117"/>
      <c r="Z253" s="117"/>
      <c r="AA253" s="117"/>
      <c r="AB253" s="117"/>
      <c r="AC253" s="117"/>
      <c r="AD253" s="117"/>
      <c r="AE253" s="117"/>
      <c r="AF253" s="117"/>
      <c r="AG253" s="117"/>
      <c r="AH253" s="117"/>
    </row>
    <row r="254" spans="1:34" s="161" customFormat="1" x14ac:dyDescent="0.2">
      <c r="A254" s="157"/>
      <c r="B254" s="274"/>
      <c r="C254" s="117"/>
      <c r="D254" s="117"/>
      <c r="E254" s="117"/>
      <c r="F254" s="117"/>
      <c r="G254" s="117"/>
      <c r="H254" s="160"/>
      <c r="I254" s="117"/>
      <c r="J254" s="117"/>
      <c r="K254" s="117"/>
      <c r="L254" s="117"/>
      <c r="M254" s="117"/>
      <c r="N254" s="117"/>
      <c r="O254" s="117"/>
      <c r="P254" s="117"/>
      <c r="Q254" s="117"/>
      <c r="R254" s="117"/>
      <c r="S254" s="117"/>
      <c r="T254" s="117"/>
      <c r="U254" s="117"/>
      <c r="V254" s="117"/>
      <c r="W254" s="117"/>
      <c r="X254" s="117"/>
      <c r="Y254" s="117"/>
      <c r="Z254" s="117"/>
      <c r="AA254" s="117"/>
      <c r="AB254" s="117"/>
      <c r="AC254" s="117"/>
      <c r="AD254" s="117"/>
      <c r="AE254" s="117"/>
      <c r="AF254" s="117"/>
      <c r="AG254" s="117"/>
      <c r="AH254" s="117"/>
    </row>
    <row r="255" spans="1:34" s="161" customFormat="1" x14ac:dyDescent="0.2">
      <c r="A255" s="157"/>
      <c r="B255" s="274"/>
      <c r="C255" s="117"/>
      <c r="D255" s="117"/>
      <c r="E255" s="117"/>
      <c r="F255" s="117"/>
      <c r="G255" s="117"/>
      <c r="H255" s="160"/>
      <c r="I255" s="117"/>
      <c r="J255" s="117"/>
      <c r="K255" s="117"/>
      <c r="L255" s="117"/>
      <c r="M255" s="117"/>
      <c r="N255" s="117"/>
      <c r="O255" s="117"/>
      <c r="P255" s="117"/>
      <c r="Q255" s="117"/>
      <c r="R255" s="117"/>
      <c r="S255" s="117"/>
      <c r="T255" s="117"/>
      <c r="U255" s="117"/>
      <c r="V255" s="117"/>
      <c r="W255" s="117"/>
      <c r="X255" s="117"/>
      <c r="Y255" s="117"/>
      <c r="Z255" s="117"/>
      <c r="AA255" s="117"/>
      <c r="AB255" s="117"/>
      <c r="AC255" s="117"/>
      <c r="AD255" s="117"/>
      <c r="AE255" s="117"/>
      <c r="AF255" s="117"/>
      <c r="AG255" s="117"/>
      <c r="AH255" s="117"/>
    </row>
    <row r="256" spans="1:34" s="161" customFormat="1" x14ac:dyDescent="0.2">
      <c r="A256" s="157"/>
      <c r="B256" s="274"/>
      <c r="C256" s="117"/>
      <c r="D256" s="117"/>
      <c r="E256" s="117"/>
      <c r="F256" s="117"/>
      <c r="G256" s="117"/>
      <c r="H256" s="160"/>
      <c r="I256" s="117"/>
      <c r="J256" s="117"/>
      <c r="K256" s="117"/>
      <c r="L256" s="117"/>
      <c r="M256" s="117"/>
      <c r="N256" s="117"/>
      <c r="O256" s="117"/>
      <c r="P256" s="117"/>
      <c r="Q256" s="117"/>
      <c r="R256" s="117"/>
      <c r="S256" s="117"/>
      <c r="T256" s="117"/>
      <c r="U256" s="117"/>
      <c r="V256" s="117"/>
      <c r="W256" s="117"/>
      <c r="X256" s="117"/>
      <c r="Y256" s="117"/>
      <c r="Z256" s="117"/>
      <c r="AA256" s="117"/>
      <c r="AB256" s="117"/>
      <c r="AC256" s="117"/>
      <c r="AD256" s="117"/>
      <c r="AE256" s="117"/>
      <c r="AF256" s="117"/>
      <c r="AG256" s="117"/>
      <c r="AH256" s="117"/>
    </row>
    <row r="257" spans="1:34" s="161" customFormat="1" x14ac:dyDescent="0.2">
      <c r="A257" s="157"/>
      <c r="B257" s="274"/>
      <c r="C257" s="117"/>
      <c r="D257" s="117"/>
      <c r="E257" s="117"/>
      <c r="F257" s="117"/>
      <c r="G257" s="117"/>
      <c r="H257" s="160"/>
      <c r="I257" s="117"/>
      <c r="J257" s="117"/>
      <c r="K257" s="117"/>
      <c r="L257" s="117"/>
      <c r="M257" s="117"/>
      <c r="N257" s="117"/>
      <c r="O257" s="117"/>
      <c r="P257" s="117"/>
      <c r="Q257" s="117"/>
      <c r="R257" s="117"/>
      <c r="S257" s="117"/>
      <c r="T257" s="117"/>
      <c r="U257" s="117"/>
      <c r="V257" s="117"/>
      <c r="W257" s="117"/>
      <c r="X257" s="117"/>
      <c r="Y257" s="117"/>
      <c r="Z257" s="117"/>
      <c r="AA257" s="117"/>
      <c r="AB257" s="117"/>
      <c r="AC257" s="117"/>
      <c r="AD257" s="117"/>
      <c r="AE257" s="117"/>
      <c r="AF257" s="117"/>
      <c r="AG257" s="117"/>
      <c r="AH257" s="117"/>
    </row>
    <row r="258" spans="1:34" s="161" customFormat="1" x14ac:dyDescent="0.2">
      <c r="A258" s="157"/>
      <c r="B258" s="274"/>
      <c r="C258" s="117"/>
      <c r="D258" s="117"/>
      <c r="E258" s="117"/>
      <c r="F258" s="117"/>
      <c r="G258" s="117"/>
      <c r="H258" s="160"/>
      <c r="I258" s="117"/>
      <c r="J258" s="117"/>
      <c r="K258" s="117"/>
      <c r="L258" s="117"/>
      <c r="M258" s="117"/>
      <c r="N258" s="117"/>
      <c r="O258" s="117"/>
      <c r="P258" s="117"/>
      <c r="Q258" s="117"/>
      <c r="R258" s="117"/>
      <c r="S258" s="117"/>
      <c r="T258" s="117"/>
      <c r="U258" s="117"/>
      <c r="V258" s="117"/>
      <c r="W258" s="117"/>
      <c r="X258" s="117"/>
      <c r="Y258" s="117"/>
      <c r="Z258" s="117"/>
      <c r="AA258" s="117"/>
      <c r="AB258" s="117"/>
      <c r="AC258" s="117"/>
      <c r="AD258" s="117"/>
      <c r="AE258" s="117"/>
      <c r="AF258" s="117"/>
      <c r="AG258" s="117"/>
      <c r="AH258" s="117"/>
    </row>
    <row r="259" spans="1:34" s="161" customFormat="1" x14ac:dyDescent="0.2">
      <c r="A259" s="157"/>
      <c r="B259" s="274"/>
      <c r="C259" s="117"/>
      <c r="D259" s="117"/>
      <c r="E259" s="117"/>
      <c r="F259" s="117"/>
      <c r="G259" s="117"/>
      <c r="H259" s="160"/>
      <c r="I259" s="117"/>
      <c r="J259" s="117"/>
      <c r="K259" s="117"/>
      <c r="L259" s="117"/>
      <c r="M259" s="117"/>
      <c r="N259" s="117"/>
      <c r="O259" s="117"/>
      <c r="P259" s="117"/>
      <c r="Q259" s="117"/>
      <c r="R259" s="117"/>
      <c r="S259" s="117"/>
      <c r="T259" s="117"/>
      <c r="U259" s="117"/>
      <c r="V259" s="117"/>
      <c r="W259" s="117"/>
      <c r="X259" s="117"/>
      <c r="Y259" s="117"/>
      <c r="Z259" s="117"/>
      <c r="AA259" s="117"/>
      <c r="AB259" s="117"/>
      <c r="AC259" s="117"/>
      <c r="AD259" s="117"/>
      <c r="AE259" s="117"/>
      <c r="AF259" s="117"/>
      <c r="AG259" s="117"/>
      <c r="AH259" s="117"/>
    </row>
    <row r="260" spans="1:34" s="161" customFormat="1" x14ac:dyDescent="0.2">
      <c r="A260" s="157"/>
      <c r="B260" s="274"/>
      <c r="C260" s="117"/>
      <c r="D260" s="117"/>
      <c r="E260" s="117"/>
      <c r="F260" s="117"/>
      <c r="G260" s="117"/>
      <c r="H260" s="160"/>
      <c r="I260" s="117"/>
      <c r="J260" s="117"/>
      <c r="K260" s="117"/>
      <c r="L260" s="117"/>
      <c r="M260" s="117"/>
      <c r="N260" s="117"/>
      <c r="O260" s="117"/>
      <c r="P260" s="117"/>
      <c r="Q260" s="117"/>
      <c r="R260" s="117"/>
      <c r="S260" s="117"/>
      <c r="T260" s="117"/>
      <c r="U260" s="117"/>
      <c r="V260" s="117"/>
      <c r="W260" s="117"/>
      <c r="X260" s="117"/>
      <c r="Y260" s="117"/>
      <c r="Z260" s="117"/>
      <c r="AA260" s="117"/>
      <c r="AB260" s="117"/>
      <c r="AC260" s="117"/>
      <c r="AD260" s="117"/>
      <c r="AE260" s="117"/>
      <c r="AF260" s="117"/>
      <c r="AG260" s="117"/>
      <c r="AH260" s="117"/>
    </row>
    <row r="261" spans="1:34" s="161" customFormat="1" x14ac:dyDescent="0.2">
      <c r="A261" s="157"/>
      <c r="B261" s="274"/>
      <c r="C261" s="117"/>
      <c r="D261" s="117"/>
      <c r="E261" s="117"/>
      <c r="F261" s="117"/>
      <c r="G261" s="117"/>
      <c r="H261" s="160"/>
      <c r="I261" s="117"/>
      <c r="J261" s="117"/>
      <c r="K261" s="117"/>
      <c r="L261" s="117"/>
      <c r="M261" s="117"/>
      <c r="N261" s="117"/>
      <c r="O261" s="117"/>
      <c r="P261" s="117"/>
      <c r="Q261" s="117"/>
      <c r="R261" s="117"/>
      <c r="S261" s="117"/>
      <c r="T261" s="117"/>
      <c r="U261" s="117"/>
      <c r="V261" s="117"/>
      <c r="W261" s="117"/>
      <c r="X261" s="117"/>
      <c r="Y261" s="117"/>
      <c r="Z261" s="117"/>
      <c r="AA261" s="117"/>
      <c r="AB261" s="117"/>
      <c r="AC261" s="117"/>
      <c r="AD261" s="117"/>
      <c r="AE261" s="117"/>
      <c r="AF261" s="117"/>
      <c r="AG261" s="117"/>
      <c r="AH261" s="117"/>
    </row>
    <row r="262" spans="1:34" s="161" customFormat="1" x14ac:dyDescent="0.2">
      <c r="A262" s="157"/>
      <c r="B262" s="274"/>
      <c r="C262" s="117"/>
      <c r="D262" s="117"/>
      <c r="E262" s="117"/>
      <c r="F262" s="117"/>
      <c r="G262" s="117"/>
      <c r="H262" s="160"/>
      <c r="I262" s="117"/>
      <c r="J262" s="117"/>
      <c r="K262" s="117"/>
      <c r="L262" s="117"/>
      <c r="M262" s="117"/>
      <c r="N262" s="117"/>
      <c r="O262" s="117"/>
      <c r="P262" s="117"/>
      <c r="Q262" s="117"/>
      <c r="R262" s="117"/>
      <c r="S262" s="117"/>
      <c r="T262" s="117"/>
      <c r="U262" s="117"/>
      <c r="V262" s="117"/>
      <c r="W262" s="117"/>
      <c r="X262" s="117"/>
      <c r="Y262" s="117"/>
      <c r="Z262" s="117"/>
      <c r="AA262" s="117"/>
      <c r="AB262" s="117"/>
      <c r="AC262" s="117"/>
      <c r="AD262" s="117"/>
      <c r="AE262" s="117"/>
      <c r="AF262" s="117"/>
      <c r="AG262" s="117"/>
      <c r="AH262" s="117"/>
    </row>
    <row r="263" spans="1:34" s="161" customFormat="1" x14ac:dyDescent="0.2">
      <c r="A263" s="157"/>
      <c r="B263" s="274"/>
      <c r="C263" s="117"/>
      <c r="D263" s="117"/>
      <c r="E263" s="117"/>
      <c r="F263" s="117"/>
      <c r="G263" s="117"/>
      <c r="H263" s="160"/>
      <c r="I263" s="117"/>
      <c r="J263" s="117"/>
      <c r="K263" s="117"/>
      <c r="L263" s="117"/>
      <c r="M263" s="117"/>
      <c r="N263" s="117"/>
      <c r="O263" s="117"/>
      <c r="P263" s="117"/>
      <c r="Q263" s="117"/>
      <c r="R263" s="117"/>
      <c r="S263" s="117"/>
      <c r="T263" s="117"/>
      <c r="U263" s="117"/>
      <c r="V263" s="117"/>
      <c r="W263" s="117"/>
      <c r="X263" s="117"/>
      <c r="Y263" s="117"/>
      <c r="Z263" s="117"/>
      <c r="AA263" s="117"/>
      <c r="AB263" s="117"/>
      <c r="AC263" s="117"/>
      <c r="AD263" s="117"/>
      <c r="AE263" s="117"/>
      <c r="AF263" s="117"/>
      <c r="AG263" s="117"/>
      <c r="AH263" s="117"/>
    </row>
    <row r="264" spans="1:34" s="161" customFormat="1" x14ac:dyDescent="0.2">
      <c r="A264" s="157"/>
      <c r="B264" s="274"/>
      <c r="C264" s="117"/>
      <c r="D264" s="117"/>
      <c r="E264" s="117"/>
      <c r="F264" s="117"/>
      <c r="G264" s="117"/>
      <c r="H264" s="160"/>
      <c r="I264" s="117"/>
      <c r="J264" s="117"/>
      <c r="K264" s="117"/>
      <c r="L264" s="117"/>
      <c r="M264" s="117"/>
      <c r="N264" s="117"/>
      <c r="O264" s="117"/>
      <c r="P264" s="117"/>
      <c r="Q264" s="117"/>
      <c r="R264" s="117"/>
      <c r="S264" s="117"/>
      <c r="T264" s="117"/>
      <c r="U264" s="117"/>
      <c r="V264" s="117"/>
      <c r="W264" s="117"/>
      <c r="X264" s="117"/>
      <c r="Y264" s="117"/>
      <c r="Z264" s="117"/>
      <c r="AA264" s="117"/>
      <c r="AB264" s="117"/>
      <c r="AC264" s="117"/>
      <c r="AD264" s="117"/>
      <c r="AE264" s="117"/>
      <c r="AF264" s="117"/>
      <c r="AG264" s="117"/>
      <c r="AH264" s="117"/>
    </row>
    <row r="265" spans="1:34" s="161" customFormat="1" x14ac:dyDescent="0.2">
      <c r="A265" s="157"/>
      <c r="B265" s="274"/>
      <c r="C265" s="117"/>
      <c r="D265" s="117"/>
      <c r="E265" s="117"/>
      <c r="F265" s="117"/>
      <c r="G265" s="117"/>
      <c r="H265" s="160"/>
      <c r="I265" s="117"/>
      <c r="J265" s="117"/>
      <c r="K265" s="117"/>
      <c r="L265" s="117"/>
      <c r="M265" s="117"/>
      <c r="N265" s="117"/>
      <c r="O265" s="117"/>
      <c r="P265" s="117"/>
      <c r="Q265" s="117"/>
      <c r="R265" s="117"/>
      <c r="S265" s="117"/>
      <c r="T265" s="117"/>
      <c r="U265" s="117"/>
      <c r="V265" s="117"/>
      <c r="W265" s="117"/>
      <c r="X265" s="117"/>
      <c r="Y265" s="117"/>
      <c r="Z265" s="117"/>
      <c r="AA265" s="117"/>
      <c r="AB265" s="117"/>
      <c r="AC265" s="117"/>
      <c r="AD265" s="117"/>
      <c r="AE265" s="117"/>
      <c r="AF265" s="117"/>
      <c r="AG265" s="117"/>
      <c r="AH265" s="117"/>
    </row>
    <row r="266" spans="1:34" s="161" customFormat="1" x14ac:dyDescent="0.2">
      <c r="A266" s="157"/>
      <c r="B266" s="274"/>
      <c r="C266" s="117"/>
      <c r="D266" s="117"/>
      <c r="E266" s="117"/>
      <c r="F266" s="117"/>
      <c r="G266" s="117"/>
      <c r="H266" s="160"/>
      <c r="I266" s="117"/>
      <c r="J266" s="117"/>
      <c r="K266" s="117"/>
      <c r="L266" s="117"/>
      <c r="M266" s="117"/>
      <c r="N266" s="117"/>
      <c r="O266" s="117"/>
      <c r="P266" s="117"/>
      <c r="Q266" s="117"/>
      <c r="R266" s="117"/>
      <c r="S266" s="117"/>
      <c r="T266" s="117"/>
      <c r="U266" s="117"/>
      <c r="V266" s="117"/>
      <c r="W266" s="117"/>
      <c r="X266" s="117"/>
      <c r="Y266" s="117"/>
      <c r="Z266" s="117"/>
      <c r="AA266" s="117"/>
      <c r="AB266" s="117"/>
      <c r="AC266" s="117"/>
      <c r="AD266" s="117"/>
      <c r="AE266" s="117"/>
      <c r="AF266" s="117"/>
      <c r="AG266" s="117"/>
      <c r="AH266" s="117"/>
    </row>
    <row r="267" spans="1:34" s="161" customFormat="1" x14ac:dyDescent="0.2">
      <c r="A267" s="157"/>
      <c r="B267" s="274"/>
      <c r="C267" s="117"/>
      <c r="D267" s="117"/>
      <c r="E267" s="117"/>
      <c r="F267" s="117"/>
      <c r="G267" s="117"/>
      <c r="H267" s="160"/>
      <c r="I267" s="117"/>
      <c r="J267" s="117"/>
      <c r="K267" s="117"/>
      <c r="L267" s="117"/>
      <c r="M267" s="117"/>
      <c r="N267" s="117"/>
      <c r="O267" s="117"/>
      <c r="P267" s="117"/>
      <c r="Q267" s="117"/>
      <c r="R267" s="117"/>
      <c r="S267" s="117"/>
      <c r="T267" s="117"/>
      <c r="U267" s="117"/>
      <c r="V267" s="117"/>
      <c r="W267" s="117"/>
      <c r="X267" s="117"/>
      <c r="Y267" s="117"/>
      <c r="Z267" s="117"/>
      <c r="AA267" s="117"/>
      <c r="AB267" s="117"/>
      <c r="AC267" s="117"/>
      <c r="AD267" s="117"/>
      <c r="AE267" s="117"/>
      <c r="AF267" s="117"/>
      <c r="AG267" s="117"/>
      <c r="AH267" s="117"/>
    </row>
    <row r="268" spans="1:34" s="161" customFormat="1" x14ac:dyDescent="0.2">
      <c r="A268" s="157"/>
      <c r="B268" s="274"/>
      <c r="C268" s="117"/>
      <c r="D268" s="117"/>
      <c r="E268" s="117"/>
      <c r="F268" s="117"/>
      <c r="G268" s="117"/>
      <c r="H268" s="160"/>
      <c r="I268" s="117"/>
      <c r="J268" s="117"/>
      <c r="K268" s="117"/>
      <c r="L268" s="117"/>
      <c r="M268" s="117"/>
      <c r="N268" s="117"/>
      <c r="O268" s="117"/>
      <c r="P268" s="117"/>
      <c r="Q268" s="117"/>
      <c r="R268" s="117"/>
      <c r="S268" s="117"/>
      <c r="T268" s="117"/>
      <c r="U268" s="117"/>
      <c r="V268" s="117"/>
      <c r="W268" s="117"/>
      <c r="X268" s="117"/>
      <c r="Y268" s="117"/>
      <c r="Z268" s="117"/>
      <c r="AA268" s="117"/>
      <c r="AB268" s="117"/>
      <c r="AC268" s="117"/>
      <c r="AD268" s="117"/>
      <c r="AE268" s="117"/>
      <c r="AF268" s="117"/>
      <c r="AG268" s="117"/>
      <c r="AH268" s="117"/>
    </row>
    <row r="269" spans="1:34" s="161" customFormat="1" x14ac:dyDescent="0.2">
      <c r="A269" s="157"/>
      <c r="B269" s="274"/>
      <c r="C269" s="117"/>
      <c r="D269" s="117"/>
      <c r="E269" s="117"/>
      <c r="F269" s="117"/>
      <c r="G269" s="117"/>
      <c r="H269" s="160"/>
      <c r="I269" s="117"/>
      <c r="J269" s="117"/>
      <c r="K269" s="117"/>
      <c r="L269" s="117"/>
      <c r="M269" s="117"/>
      <c r="N269" s="117"/>
      <c r="O269" s="117"/>
      <c r="P269" s="117"/>
      <c r="Q269" s="117"/>
      <c r="R269" s="117"/>
      <c r="S269" s="117"/>
      <c r="T269" s="117"/>
      <c r="U269" s="117"/>
      <c r="V269" s="117"/>
      <c r="W269" s="117"/>
      <c r="X269" s="117"/>
      <c r="Y269" s="117"/>
      <c r="Z269" s="117"/>
      <c r="AA269" s="117"/>
      <c r="AB269" s="117"/>
      <c r="AC269" s="117"/>
      <c r="AD269" s="117"/>
      <c r="AE269" s="117"/>
      <c r="AF269" s="117"/>
      <c r="AG269" s="117"/>
      <c r="AH269" s="117"/>
    </row>
    <row r="270" spans="1:34" s="161" customFormat="1" x14ac:dyDescent="0.2">
      <c r="A270" s="157"/>
      <c r="B270" s="274"/>
      <c r="C270" s="117"/>
      <c r="D270" s="117"/>
      <c r="E270" s="117"/>
      <c r="F270" s="117"/>
      <c r="G270" s="117"/>
      <c r="H270" s="160"/>
      <c r="I270" s="117"/>
      <c r="J270" s="117"/>
      <c r="K270" s="117"/>
      <c r="L270" s="117"/>
      <c r="M270" s="117"/>
      <c r="N270" s="117"/>
      <c r="O270" s="117"/>
      <c r="P270" s="117"/>
      <c r="Q270" s="117"/>
      <c r="R270" s="117"/>
      <c r="S270" s="117"/>
      <c r="T270" s="117"/>
      <c r="U270" s="117"/>
      <c r="V270" s="117"/>
      <c r="W270" s="117"/>
      <c r="X270" s="117"/>
      <c r="Y270" s="117"/>
      <c r="Z270" s="117"/>
      <c r="AA270" s="117"/>
      <c r="AB270" s="117"/>
      <c r="AC270" s="117"/>
      <c r="AD270" s="117"/>
      <c r="AE270" s="117"/>
      <c r="AF270" s="117"/>
      <c r="AG270" s="117"/>
      <c r="AH270" s="117"/>
    </row>
    <row r="271" spans="1:34" s="161" customFormat="1" x14ac:dyDescent="0.2">
      <c r="A271" s="157"/>
      <c r="B271" s="274"/>
      <c r="C271" s="117"/>
      <c r="D271" s="117"/>
      <c r="E271" s="117"/>
      <c r="F271" s="117"/>
      <c r="G271" s="117"/>
      <c r="H271" s="160"/>
      <c r="I271" s="117"/>
      <c r="J271" s="117"/>
      <c r="K271" s="117"/>
      <c r="L271" s="117"/>
      <c r="M271" s="117"/>
      <c r="N271" s="117"/>
      <c r="O271" s="117"/>
      <c r="P271" s="117"/>
      <c r="Q271" s="117"/>
      <c r="R271" s="117"/>
      <c r="S271" s="117"/>
      <c r="T271" s="117"/>
      <c r="U271" s="117"/>
      <c r="V271" s="117"/>
      <c r="W271" s="117"/>
      <c r="X271" s="117"/>
      <c r="Y271" s="117"/>
      <c r="Z271" s="117"/>
      <c r="AA271" s="117"/>
      <c r="AB271" s="117"/>
      <c r="AC271" s="117"/>
      <c r="AD271" s="117"/>
      <c r="AE271" s="117"/>
      <c r="AF271" s="117"/>
      <c r="AG271" s="117"/>
      <c r="AH271" s="117"/>
    </row>
    <row r="272" spans="1:34" s="161" customFormat="1" x14ac:dyDescent="0.2">
      <c r="A272" s="157"/>
      <c r="B272" s="274"/>
      <c r="C272" s="117"/>
      <c r="D272" s="117"/>
      <c r="E272" s="117"/>
      <c r="F272" s="117"/>
      <c r="G272" s="117"/>
      <c r="H272" s="160"/>
      <c r="I272" s="117"/>
      <c r="J272" s="117"/>
      <c r="K272" s="117"/>
      <c r="L272" s="117"/>
      <c r="M272" s="117"/>
      <c r="N272" s="117"/>
      <c r="O272" s="117"/>
      <c r="P272" s="117"/>
      <c r="Q272" s="117"/>
      <c r="R272" s="117"/>
      <c r="S272" s="117"/>
      <c r="T272" s="117"/>
      <c r="U272" s="117"/>
      <c r="V272" s="117"/>
      <c r="W272" s="117"/>
      <c r="X272" s="117"/>
      <c r="Y272" s="117"/>
      <c r="Z272" s="117"/>
      <c r="AA272" s="117"/>
      <c r="AB272" s="117"/>
      <c r="AC272" s="117"/>
      <c r="AD272" s="117"/>
      <c r="AE272" s="117"/>
      <c r="AF272" s="117"/>
      <c r="AG272" s="117"/>
      <c r="AH272" s="117"/>
    </row>
    <row r="273" spans="1:34" s="161" customFormat="1" x14ac:dyDescent="0.2">
      <c r="A273" s="157"/>
      <c r="B273" s="274"/>
      <c r="C273" s="117"/>
      <c r="D273" s="117"/>
      <c r="E273" s="117"/>
      <c r="F273" s="117"/>
      <c r="G273" s="117"/>
      <c r="H273" s="160"/>
      <c r="I273" s="117"/>
      <c r="J273" s="117"/>
      <c r="K273" s="117"/>
      <c r="L273" s="117"/>
      <c r="M273" s="117"/>
      <c r="N273" s="117"/>
      <c r="O273" s="117"/>
      <c r="P273" s="117"/>
      <c r="Q273" s="117"/>
      <c r="R273" s="117"/>
      <c r="S273" s="117"/>
      <c r="T273" s="117"/>
      <c r="U273" s="117"/>
      <c r="V273" s="117"/>
      <c r="W273" s="117"/>
      <c r="X273" s="117"/>
      <c r="Y273" s="117"/>
      <c r="Z273" s="117"/>
      <c r="AA273" s="117"/>
      <c r="AB273" s="117"/>
      <c r="AC273" s="117"/>
      <c r="AD273" s="117"/>
      <c r="AE273" s="117"/>
      <c r="AF273" s="117"/>
      <c r="AG273" s="117"/>
      <c r="AH273" s="117"/>
    </row>
    <row r="274" spans="1:34" s="161" customFormat="1" x14ac:dyDescent="0.2">
      <c r="A274" s="157"/>
      <c r="B274" s="274"/>
      <c r="C274" s="117"/>
      <c r="D274" s="117"/>
      <c r="E274" s="117"/>
      <c r="F274" s="117"/>
      <c r="G274" s="117"/>
      <c r="H274" s="160"/>
      <c r="I274" s="117"/>
      <c r="J274" s="117"/>
      <c r="K274" s="117"/>
      <c r="L274" s="117"/>
      <c r="M274" s="117"/>
      <c r="N274" s="117"/>
      <c r="O274" s="117"/>
      <c r="P274" s="117"/>
      <c r="Q274" s="117"/>
      <c r="R274" s="117"/>
      <c r="S274" s="117"/>
      <c r="T274" s="117"/>
      <c r="U274" s="117"/>
      <c r="V274" s="117"/>
      <c r="W274" s="117"/>
      <c r="X274" s="117"/>
      <c r="Y274" s="117"/>
      <c r="Z274" s="117"/>
      <c r="AA274" s="117"/>
      <c r="AB274" s="117"/>
      <c r="AC274" s="117"/>
      <c r="AD274" s="117"/>
      <c r="AE274" s="117"/>
      <c r="AF274" s="117"/>
      <c r="AG274" s="117"/>
      <c r="AH274" s="117"/>
    </row>
    <row r="275" spans="1:34" s="161" customFormat="1" x14ac:dyDescent="0.2">
      <c r="A275" s="157"/>
      <c r="B275" s="274"/>
      <c r="C275" s="117"/>
      <c r="D275" s="117"/>
      <c r="E275" s="117"/>
      <c r="F275" s="117"/>
      <c r="G275" s="117"/>
      <c r="H275" s="160"/>
      <c r="I275" s="117"/>
      <c r="J275" s="117"/>
      <c r="K275" s="117"/>
      <c r="L275" s="117"/>
      <c r="M275" s="117"/>
      <c r="N275" s="117"/>
      <c r="O275" s="117"/>
      <c r="P275" s="117"/>
      <c r="Q275" s="117"/>
      <c r="R275" s="117"/>
      <c r="S275" s="117"/>
      <c r="T275" s="117"/>
      <c r="U275" s="117"/>
      <c r="V275" s="117"/>
      <c r="W275" s="117"/>
      <c r="X275" s="117"/>
      <c r="Y275" s="117"/>
      <c r="Z275" s="117"/>
      <c r="AA275" s="117"/>
      <c r="AB275" s="117"/>
      <c r="AC275" s="117"/>
      <c r="AD275" s="117"/>
      <c r="AE275" s="117"/>
      <c r="AF275" s="117"/>
      <c r="AG275" s="117"/>
      <c r="AH275" s="117"/>
    </row>
    <row r="276" spans="1:34" s="161" customFormat="1" x14ac:dyDescent="0.2">
      <c r="A276" s="157"/>
      <c r="B276" s="274"/>
      <c r="C276" s="117"/>
      <c r="D276" s="117"/>
      <c r="E276" s="117"/>
      <c r="F276" s="117"/>
      <c r="G276" s="117"/>
      <c r="H276" s="160"/>
      <c r="I276" s="117"/>
      <c r="J276" s="117"/>
      <c r="K276" s="117"/>
      <c r="L276" s="117"/>
      <c r="M276" s="117"/>
      <c r="N276" s="117"/>
      <c r="O276" s="117"/>
      <c r="P276" s="117"/>
      <c r="Q276" s="117"/>
      <c r="R276" s="117"/>
      <c r="S276" s="117"/>
      <c r="T276" s="117"/>
      <c r="U276" s="117"/>
      <c r="V276" s="117"/>
      <c r="W276" s="117"/>
      <c r="X276" s="117"/>
      <c r="Y276" s="117"/>
      <c r="Z276" s="117"/>
      <c r="AA276" s="117"/>
      <c r="AB276" s="117"/>
      <c r="AC276" s="117"/>
      <c r="AD276" s="117"/>
      <c r="AE276" s="117"/>
      <c r="AF276" s="117"/>
      <c r="AG276" s="117"/>
      <c r="AH276" s="117"/>
    </row>
    <row r="277" spans="1:34" s="161" customFormat="1" x14ac:dyDescent="0.2">
      <c r="A277" s="157"/>
      <c r="B277" s="274"/>
      <c r="C277" s="117"/>
      <c r="D277" s="117"/>
      <c r="E277" s="117"/>
      <c r="F277" s="117"/>
      <c r="G277" s="117"/>
      <c r="H277" s="160"/>
      <c r="I277" s="117"/>
      <c r="J277" s="117"/>
      <c r="K277" s="117"/>
      <c r="L277" s="117"/>
      <c r="M277" s="117"/>
      <c r="N277" s="117"/>
      <c r="O277" s="117"/>
      <c r="P277" s="117"/>
      <c r="Q277" s="117"/>
      <c r="R277" s="117"/>
      <c r="S277" s="117"/>
      <c r="T277" s="117"/>
      <c r="U277" s="117"/>
      <c r="V277" s="117"/>
      <c r="W277" s="117"/>
      <c r="X277" s="117"/>
      <c r="Y277" s="117"/>
      <c r="Z277" s="117"/>
      <c r="AA277" s="117"/>
      <c r="AB277" s="117"/>
      <c r="AC277" s="117"/>
      <c r="AD277" s="117"/>
      <c r="AE277" s="117"/>
      <c r="AF277" s="117"/>
      <c r="AG277" s="117"/>
      <c r="AH277" s="117"/>
    </row>
    <row r="278" spans="1:34" s="161" customFormat="1" x14ac:dyDescent="0.2">
      <c r="A278" s="157"/>
      <c r="B278" s="274"/>
      <c r="C278" s="117"/>
      <c r="D278" s="117"/>
      <c r="E278" s="117"/>
      <c r="F278" s="117"/>
      <c r="G278" s="117"/>
      <c r="H278" s="160"/>
      <c r="I278" s="117"/>
      <c r="J278" s="117"/>
      <c r="K278" s="117"/>
      <c r="L278" s="117"/>
      <c r="M278" s="117"/>
      <c r="N278" s="117"/>
      <c r="O278" s="117"/>
      <c r="P278" s="117"/>
      <c r="Q278" s="117"/>
      <c r="R278" s="117"/>
      <c r="S278" s="117"/>
      <c r="T278" s="117"/>
      <c r="U278" s="117"/>
      <c r="V278" s="117"/>
      <c r="W278" s="117"/>
      <c r="X278" s="117"/>
      <c r="Y278" s="117"/>
      <c r="Z278" s="117"/>
      <c r="AA278" s="117"/>
      <c r="AB278" s="117"/>
      <c r="AC278" s="117"/>
      <c r="AD278" s="117"/>
      <c r="AE278" s="117"/>
      <c r="AF278" s="117"/>
      <c r="AG278" s="117"/>
      <c r="AH278" s="117"/>
    </row>
    <row r="279" spans="1:34" s="161" customFormat="1" x14ac:dyDescent="0.2">
      <c r="A279" s="157"/>
      <c r="B279" s="274"/>
      <c r="C279" s="117"/>
      <c r="D279" s="117"/>
      <c r="E279" s="117"/>
      <c r="F279" s="117"/>
      <c r="G279" s="117"/>
      <c r="H279" s="160"/>
      <c r="I279" s="117"/>
      <c r="J279" s="117"/>
      <c r="K279" s="117"/>
      <c r="L279" s="117"/>
      <c r="M279" s="117"/>
      <c r="N279" s="117"/>
      <c r="O279" s="117"/>
      <c r="P279" s="117"/>
      <c r="Q279" s="117"/>
      <c r="R279" s="117"/>
      <c r="S279" s="117"/>
      <c r="T279" s="117"/>
      <c r="U279" s="117"/>
      <c r="V279" s="117"/>
      <c r="W279" s="117"/>
      <c r="X279" s="117"/>
      <c r="Y279" s="117"/>
      <c r="Z279" s="117"/>
      <c r="AA279" s="117"/>
      <c r="AB279" s="117"/>
      <c r="AC279" s="117"/>
      <c r="AD279" s="117"/>
      <c r="AE279" s="117"/>
      <c r="AF279" s="117"/>
      <c r="AG279" s="117"/>
      <c r="AH279" s="117"/>
    </row>
    <row r="280" spans="1:34" s="161" customFormat="1" x14ac:dyDescent="0.2">
      <c r="A280" s="157"/>
      <c r="B280" s="274"/>
      <c r="C280" s="117"/>
      <c r="D280" s="117"/>
      <c r="E280" s="117"/>
      <c r="F280" s="117"/>
      <c r="G280" s="117"/>
      <c r="H280" s="160"/>
      <c r="I280" s="117"/>
      <c r="J280" s="117"/>
      <c r="K280" s="117"/>
      <c r="L280" s="117"/>
      <c r="M280" s="117"/>
      <c r="N280" s="117"/>
      <c r="O280" s="117"/>
      <c r="P280" s="117"/>
      <c r="Q280" s="117"/>
      <c r="R280" s="117"/>
      <c r="S280" s="117"/>
      <c r="T280" s="117"/>
      <c r="U280" s="117"/>
      <c r="V280" s="117"/>
      <c r="W280" s="117"/>
      <c r="X280" s="117"/>
      <c r="Y280" s="117"/>
      <c r="Z280" s="117"/>
      <c r="AA280" s="117"/>
      <c r="AB280" s="117"/>
      <c r="AC280" s="117"/>
      <c r="AD280" s="117"/>
      <c r="AE280" s="117"/>
      <c r="AF280" s="117"/>
      <c r="AG280" s="117"/>
      <c r="AH280" s="117"/>
    </row>
    <row r="281" spans="1:34" s="161" customFormat="1" x14ac:dyDescent="0.2">
      <c r="A281" s="157"/>
      <c r="B281" s="274"/>
      <c r="C281" s="117"/>
      <c r="D281" s="117"/>
      <c r="E281" s="117"/>
      <c r="F281" s="117"/>
      <c r="G281" s="117"/>
      <c r="H281" s="160"/>
      <c r="I281" s="117"/>
      <c r="J281" s="117"/>
      <c r="K281" s="117"/>
      <c r="L281" s="117"/>
      <c r="M281" s="117"/>
      <c r="N281" s="117"/>
      <c r="O281" s="117"/>
      <c r="P281" s="117"/>
      <c r="Q281" s="117"/>
      <c r="R281" s="117"/>
      <c r="S281" s="117"/>
      <c r="T281" s="117"/>
      <c r="U281" s="117"/>
      <c r="V281" s="117"/>
      <c r="W281" s="117"/>
      <c r="X281" s="117"/>
      <c r="Y281" s="117"/>
      <c r="Z281" s="117"/>
      <c r="AA281" s="117"/>
      <c r="AB281" s="117"/>
      <c r="AC281" s="117"/>
      <c r="AD281" s="117"/>
      <c r="AE281" s="117"/>
      <c r="AF281" s="117"/>
      <c r="AG281" s="117"/>
      <c r="AH281" s="117"/>
    </row>
    <row r="282" spans="1:34" s="161" customFormat="1" x14ac:dyDescent="0.2">
      <c r="A282" s="157"/>
      <c r="B282" s="274"/>
      <c r="C282" s="117"/>
      <c r="D282" s="117"/>
      <c r="E282" s="117"/>
      <c r="F282" s="117"/>
      <c r="G282" s="117"/>
      <c r="H282" s="160"/>
      <c r="I282" s="117"/>
      <c r="J282" s="117"/>
      <c r="K282" s="117"/>
      <c r="L282" s="117"/>
      <c r="M282" s="117"/>
      <c r="N282" s="117"/>
      <c r="O282" s="117"/>
      <c r="P282" s="117"/>
      <c r="Q282" s="117"/>
      <c r="R282" s="117"/>
      <c r="S282" s="117"/>
      <c r="T282" s="117"/>
      <c r="U282" s="117"/>
      <c r="V282" s="117"/>
      <c r="W282" s="117"/>
      <c r="X282" s="117"/>
      <c r="Y282" s="117"/>
      <c r="Z282" s="117"/>
      <c r="AA282" s="117"/>
      <c r="AB282" s="117"/>
      <c r="AC282" s="117"/>
      <c r="AD282" s="117"/>
      <c r="AE282" s="117"/>
      <c r="AF282" s="117"/>
      <c r="AG282" s="117"/>
      <c r="AH282" s="117"/>
    </row>
    <row r="283" spans="1:34" s="161" customFormat="1" x14ac:dyDescent="0.2">
      <c r="A283" s="157"/>
      <c r="B283" s="274"/>
      <c r="C283" s="117"/>
      <c r="D283" s="117"/>
      <c r="E283" s="117"/>
      <c r="F283" s="117"/>
      <c r="G283" s="117"/>
      <c r="H283" s="160"/>
      <c r="I283" s="117"/>
      <c r="J283" s="117"/>
      <c r="K283" s="117"/>
      <c r="L283" s="117"/>
      <c r="M283" s="117"/>
      <c r="N283" s="117"/>
      <c r="O283" s="117"/>
      <c r="P283" s="117"/>
      <c r="Q283" s="117"/>
      <c r="R283" s="117"/>
      <c r="S283" s="117"/>
      <c r="T283" s="117"/>
      <c r="U283" s="117"/>
      <c r="V283" s="117"/>
      <c r="W283" s="117"/>
      <c r="X283" s="117"/>
      <c r="Y283" s="117"/>
      <c r="Z283" s="117"/>
      <c r="AA283" s="117"/>
      <c r="AB283" s="117"/>
      <c r="AC283" s="117"/>
      <c r="AD283" s="117"/>
      <c r="AE283" s="117"/>
      <c r="AF283" s="117"/>
      <c r="AG283" s="117"/>
      <c r="AH283" s="117"/>
    </row>
    <row r="284" spans="1:34" s="161" customFormat="1" x14ac:dyDescent="0.2">
      <c r="A284" s="157"/>
      <c r="B284" s="274"/>
      <c r="C284" s="117"/>
      <c r="D284" s="117"/>
      <c r="E284" s="117"/>
      <c r="F284" s="117"/>
      <c r="G284" s="117"/>
      <c r="H284" s="160"/>
      <c r="I284" s="117"/>
      <c r="J284" s="117"/>
      <c r="K284" s="117"/>
      <c r="L284" s="117"/>
      <c r="M284" s="117"/>
      <c r="N284" s="117"/>
      <c r="O284" s="117"/>
      <c r="P284" s="117"/>
      <c r="Q284" s="117"/>
      <c r="R284" s="117"/>
      <c r="S284" s="117"/>
      <c r="T284" s="117"/>
      <c r="U284" s="117"/>
      <c r="V284" s="117"/>
      <c r="W284" s="117"/>
      <c r="X284" s="117"/>
      <c r="Y284" s="117"/>
      <c r="Z284" s="117"/>
      <c r="AA284" s="117"/>
      <c r="AB284" s="117"/>
      <c r="AC284" s="117"/>
      <c r="AD284" s="117"/>
      <c r="AE284" s="117"/>
      <c r="AF284" s="117"/>
      <c r="AG284" s="117"/>
      <c r="AH284" s="117"/>
    </row>
    <row r="285" spans="1:34" s="161" customFormat="1" x14ac:dyDescent="0.2">
      <c r="A285" s="157"/>
      <c r="B285" s="274"/>
      <c r="C285" s="117"/>
      <c r="D285" s="117"/>
      <c r="E285" s="117"/>
      <c r="F285" s="117"/>
      <c r="G285" s="117"/>
      <c r="H285" s="160"/>
      <c r="I285" s="117"/>
      <c r="J285" s="117"/>
      <c r="K285" s="117"/>
      <c r="L285" s="117"/>
      <c r="M285" s="117"/>
      <c r="N285" s="117"/>
      <c r="O285" s="117"/>
      <c r="P285" s="117"/>
      <c r="Q285" s="117"/>
      <c r="R285" s="117"/>
      <c r="S285" s="117"/>
      <c r="T285" s="117"/>
      <c r="U285" s="117"/>
      <c r="V285" s="117"/>
      <c r="W285" s="117"/>
      <c r="X285" s="117"/>
      <c r="Y285" s="117"/>
      <c r="Z285" s="117"/>
      <c r="AA285" s="117"/>
      <c r="AB285" s="117"/>
      <c r="AC285" s="117"/>
      <c r="AD285" s="117"/>
      <c r="AE285" s="117"/>
      <c r="AF285" s="117"/>
      <c r="AG285" s="117"/>
      <c r="AH285" s="117"/>
    </row>
    <row r="286" spans="1:34" s="161" customFormat="1" x14ac:dyDescent="0.2">
      <c r="A286" s="157"/>
      <c r="B286" s="274"/>
      <c r="C286" s="117"/>
      <c r="D286" s="117"/>
      <c r="E286" s="117"/>
      <c r="F286" s="117"/>
      <c r="G286" s="117"/>
      <c r="H286" s="160"/>
      <c r="I286" s="117"/>
      <c r="J286" s="117"/>
      <c r="K286" s="117"/>
      <c r="L286" s="117"/>
      <c r="M286" s="117"/>
      <c r="N286" s="117"/>
      <c r="O286" s="117"/>
      <c r="P286" s="117"/>
      <c r="Q286" s="117"/>
      <c r="R286" s="117"/>
      <c r="S286" s="117"/>
      <c r="T286" s="117"/>
      <c r="U286" s="117"/>
      <c r="V286" s="117"/>
      <c r="W286" s="117"/>
      <c r="X286" s="117"/>
      <c r="Y286" s="117"/>
      <c r="Z286" s="117"/>
      <c r="AA286" s="117"/>
      <c r="AB286" s="117"/>
      <c r="AC286" s="117"/>
      <c r="AD286" s="117"/>
      <c r="AE286" s="117"/>
      <c r="AF286" s="117"/>
      <c r="AG286" s="117"/>
      <c r="AH286" s="117"/>
    </row>
    <row r="287" spans="1:34" s="161" customFormat="1" x14ac:dyDescent="0.2">
      <c r="A287" s="157"/>
      <c r="B287" s="274"/>
      <c r="C287" s="117"/>
      <c r="D287" s="117"/>
      <c r="E287" s="117"/>
      <c r="F287" s="117"/>
      <c r="G287" s="117"/>
      <c r="H287" s="160"/>
      <c r="I287" s="117"/>
      <c r="J287" s="117"/>
      <c r="K287" s="117"/>
      <c r="L287" s="117"/>
      <c r="M287" s="117"/>
      <c r="N287" s="117"/>
      <c r="O287" s="117"/>
      <c r="P287" s="117"/>
      <c r="Q287" s="117"/>
      <c r="R287" s="117"/>
      <c r="S287" s="117"/>
      <c r="T287" s="117"/>
      <c r="U287" s="117"/>
      <c r="V287" s="117"/>
      <c r="W287" s="117"/>
      <c r="X287" s="117"/>
      <c r="Y287" s="117"/>
      <c r="Z287" s="117"/>
      <c r="AA287" s="117"/>
      <c r="AB287" s="117"/>
      <c r="AC287" s="117"/>
      <c r="AD287" s="117"/>
      <c r="AE287" s="117"/>
      <c r="AF287" s="117"/>
      <c r="AG287" s="117"/>
      <c r="AH287" s="117"/>
    </row>
    <row r="288" spans="1:34" s="161" customFormat="1" ht="15" customHeight="1" x14ac:dyDescent="0.2">
      <c r="A288" s="157"/>
      <c r="B288" s="274"/>
      <c r="C288" s="117"/>
      <c r="D288" s="117"/>
      <c r="E288" s="117"/>
      <c r="F288" s="117"/>
      <c r="G288" s="117"/>
      <c r="H288" s="160"/>
      <c r="I288" s="117"/>
      <c r="J288" s="117"/>
      <c r="K288" s="117"/>
      <c r="L288" s="117"/>
      <c r="M288" s="117"/>
      <c r="N288" s="117"/>
      <c r="O288" s="117"/>
      <c r="P288" s="117"/>
      <c r="Q288" s="117"/>
      <c r="R288" s="117"/>
      <c r="S288" s="117"/>
      <c r="T288" s="117"/>
      <c r="U288" s="117"/>
      <c r="V288" s="117"/>
      <c r="W288" s="117"/>
      <c r="X288" s="117"/>
      <c r="Y288" s="117"/>
      <c r="Z288" s="117"/>
      <c r="AA288" s="117"/>
      <c r="AB288" s="117"/>
      <c r="AC288" s="117"/>
      <c r="AD288" s="117"/>
      <c r="AE288" s="117"/>
      <c r="AF288" s="117"/>
      <c r="AG288" s="117"/>
      <c r="AH288" s="117"/>
    </row>
    <row r="289" spans="1:34" s="161" customFormat="1" x14ac:dyDescent="0.2">
      <c r="A289" s="157"/>
      <c r="B289" s="274"/>
      <c r="C289" s="117"/>
      <c r="D289" s="117"/>
      <c r="E289" s="117"/>
      <c r="F289" s="117"/>
      <c r="G289" s="117"/>
      <c r="H289" s="160"/>
      <c r="I289" s="117"/>
      <c r="J289" s="117"/>
      <c r="K289" s="117"/>
      <c r="L289" s="117"/>
      <c r="M289" s="117"/>
      <c r="N289" s="117"/>
      <c r="O289" s="117"/>
      <c r="P289" s="117"/>
      <c r="Q289" s="117"/>
      <c r="R289" s="117"/>
      <c r="S289" s="117"/>
      <c r="T289" s="117"/>
      <c r="U289" s="117"/>
      <c r="V289" s="117"/>
      <c r="W289" s="117"/>
      <c r="X289" s="117"/>
      <c r="Y289" s="117"/>
      <c r="Z289" s="117"/>
      <c r="AA289" s="117"/>
      <c r="AB289" s="117"/>
      <c r="AC289" s="117"/>
      <c r="AD289" s="117"/>
      <c r="AE289" s="117"/>
      <c r="AF289" s="117"/>
      <c r="AG289" s="117"/>
      <c r="AH289" s="117"/>
    </row>
    <row r="290" spans="1:34" s="161" customFormat="1" x14ac:dyDescent="0.2">
      <c r="A290" s="157"/>
      <c r="B290" s="274"/>
      <c r="C290" s="117"/>
      <c r="D290" s="117"/>
      <c r="E290" s="117"/>
      <c r="F290" s="117"/>
      <c r="G290" s="117"/>
      <c r="H290" s="160"/>
      <c r="I290" s="117"/>
      <c r="J290" s="117"/>
      <c r="K290" s="117"/>
      <c r="L290" s="117"/>
      <c r="M290" s="117"/>
      <c r="N290" s="117"/>
      <c r="O290" s="117"/>
      <c r="P290" s="117"/>
      <c r="Q290" s="117"/>
      <c r="R290" s="117"/>
      <c r="S290" s="117"/>
      <c r="T290" s="117"/>
      <c r="U290" s="117"/>
      <c r="V290" s="117"/>
      <c r="W290" s="117"/>
      <c r="X290" s="117"/>
      <c r="Y290" s="117"/>
      <c r="Z290" s="117"/>
      <c r="AA290" s="117"/>
      <c r="AB290" s="117"/>
      <c r="AC290" s="117"/>
      <c r="AD290" s="117"/>
      <c r="AE290" s="117"/>
      <c r="AF290" s="117"/>
      <c r="AG290" s="117"/>
      <c r="AH290" s="117"/>
    </row>
    <row r="291" spans="1:34" s="161" customFormat="1" x14ac:dyDescent="0.2">
      <c r="A291" s="157"/>
      <c r="B291" s="274"/>
      <c r="C291" s="117"/>
      <c r="D291" s="117"/>
      <c r="E291" s="117"/>
      <c r="F291" s="117"/>
      <c r="G291" s="117"/>
      <c r="H291" s="160"/>
      <c r="I291" s="117"/>
      <c r="J291" s="117"/>
      <c r="K291" s="117"/>
      <c r="L291" s="117"/>
      <c r="M291" s="117"/>
      <c r="N291" s="117"/>
      <c r="O291" s="117"/>
      <c r="P291" s="117"/>
      <c r="Q291" s="117"/>
      <c r="R291" s="117"/>
      <c r="S291" s="117"/>
      <c r="T291" s="117"/>
      <c r="U291" s="117"/>
      <c r="V291" s="117"/>
      <c r="W291" s="117"/>
      <c r="X291" s="117"/>
      <c r="Y291" s="117"/>
      <c r="Z291" s="117"/>
      <c r="AA291" s="117"/>
      <c r="AB291" s="117"/>
      <c r="AC291" s="117"/>
      <c r="AD291" s="117"/>
      <c r="AE291" s="117"/>
      <c r="AF291" s="117"/>
      <c r="AG291" s="117"/>
      <c r="AH291" s="117"/>
    </row>
    <row r="292" spans="1:34" s="161" customFormat="1" x14ac:dyDescent="0.2">
      <c r="A292" s="157"/>
      <c r="B292" s="274"/>
      <c r="C292" s="117"/>
      <c r="D292" s="117"/>
      <c r="E292" s="117"/>
      <c r="F292" s="117"/>
      <c r="G292" s="117"/>
      <c r="H292" s="160"/>
      <c r="I292" s="117"/>
      <c r="J292" s="117"/>
      <c r="K292" s="117"/>
      <c r="L292" s="117"/>
      <c r="M292" s="117"/>
      <c r="N292" s="117"/>
      <c r="O292" s="117"/>
      <c r="P292" s="117"/>
      <c r="Q292" s="117"/>
      <c r="R292" s="117"/>
      <c r="S292" s="117"/>
      <c r="T292" s="117"/>
      <c r="U292" s="117"/>
      <c r="V292" s="117"/>
      <c r="W292" s="117"/>
      <c r="X292" s="117"/>
      <c r="Y292" s="117"/>
      <c r="Z292" s="117"/>
      <c r="AA292" s="117"/>
      <c r="AB292" s="117"/>
      <c r="AC292" s="117"/>
      <c r="AD292" s="117"/>
      <c r="AE292" s="117"/>
      <c r="AF292" s="117"/>
      <c r="AG292" s="117"/>
      <c r="AH292" s="117"/>
    </row>
    <row r="293" spans="1:34" s="161" customFormat="1" x14ac:dyDescent="0.2">
      <c r="A293" s="157"/>
      <c r="B293" s="274"/>
      <c r="C293" s="117"/>
      <c r="D293" s="117"/>
      <c r="E293" s="117"/>
      <c r="F293" s="117"/>
      <c r="G293" s="117"/>
      <c r="H293" s="160"/>
      <c r="I293" s="117"/>
      <c r="J293" s="117"/>
      <c r="K293" s="117"/>
      <c r="L293" s="117"/>
      <c r="M293" s="117"/>
      <c r="N293" s="117"/>
      <c r="O293" s="117"/>
      <c r="P293" s="117"/>
      <c r="Q293" s="117"/>
      <c r="R293" s="117"/>
      <c r="S293" s="117"/>
      <c r="T293" s="117"/>
      <c r="U293" s="117"/>
      <c r="V293" s="117"/>
      <c r="W293" s="117"/>
      <c r="X293" s="117"/>
      <c r="Y293" s="117"/>
      <c r="Z293" s="117"/>
      <c r="AA293" s="117"/>
      <c r="AB293" s="117"/>
      <c r="AC293" s="117"/>
      <c r="AD293" s="117"/>
      <c r="AE293" s="117"/>
      <c r="AF293" s="117"/>
      <c r="AG293" s="117"/>
      <c r="AH293" s="117"/>
    </row>
    <row r="294" spans="1:34" s="161" customFormat="1" x14ac:dyDescent="0.2">
      <c r="A294" s="157"/>
      <c r="B294" s="274"/>
      <c r="C294" s="117"/>
      <c r="D294" s="117"/>
      <c r="E294" s="117"/>
      <c r="F294" s="117"/>
      <c r="G294" s="117"/>
      <c r="H294" s="160"/>
      <c r="I294" s="117"/>
      <c r="J294" s="117"/>
      <c r="K294" s="117"/>
      <c r="L294" s="117"/>
      <c r="M294" s="117"/>
      <c r="N294" s="117"/>
      <c r="O294" s="117"/>
      <c r="P294" s="117"/>
      <c r="Q294" s="117"/>
      <c r="R294" s="117"/>
      <c r="S294" s="117"/>
      <c r="T294" s="117"/>
      <c r="U294" s="117"/>
      <c r="V294" s="117"/>
      <c r="W294" s="117"/>
      <c r="X294" s="117"/>
      <c r="Y294" s="117"/>
      <c r="Z294" s="117"/>
      <c r="AA294" s="117"/>
      <c r="AB294" s="117"/>
      <c r="AC294" s="117"/>
      <c r="AD294" s="117"/>
      <c r="AE294" s="117"/>
      <c r="AF294" s="117"/>
      <c r="AG294" s="117"/>
      <c r="AH294" s="117"/>
    </row>
    <row r="295" spans="1:34" s="161" customFormat="1" x14ac:dyDescent="0.2">
      <c r="A295" s="157"/>
      <c r="B295" s="274"/>
      <c r="C295" s="117"/>
      <c r="D295" s="117"/>
      <c r="E295" s="117"/>
      <c r="F295" s="117"/>
      <c r="G295" s="117"/>
      <c r="H295" s="160"/>
      <c r="I295" s="117"/>
      <c r="J295" s="117"/>
      <c r="K295" s="117"/>
      <c r="L295" s="117"/>
      <c r="M295" s="117"/>
      <c r="N295" s="117"/>
      <c r="O295" s="117"/>
      <c r="P295" s="117"/>
      <c r="Q295" s="117"/>
      <c r="R295" s="117"/>
      <c r="S295" s="117"/>
      <c r="T295" s="117"/>
      <c r="U295" s="117"/>
      <c r="V295" s="117"/>
      <c r="W295" s="117"/>
      <c r="X295" s="117"/>
      <c r="Y295" s="117"/>
      <c r="Z295" s="117"/>
      <c r="AA295" s="117"/>
      <c r="AB295" s="117"/>
      <c r="AC295" s="117"/>
      <c r="AD295" s="117"/>
      <c r="AE295" s="117"/>
      <c r="AF295" s="117"/>
      <c r="AG295" s="117"/>
      <c r="AH295" s="117"/>
    </row>
    <row r="296" spans="1:34" s="161" customFormat="1" x14ac:dyDescent="0.2">
      <c r="A296" s="157"/>
      <c r="B296" s="274"/>
      <c r="C296" s="117"/>
      <c r="D296" s="117"/>
      <c r="E296" s="117"/>
      <c r="F296" s="117"/>
      <c r="G296" s="117"/>
      <c r="H296" s="160"/>
      <c r="I296" s="117"/>
      <c r="J296" s="117"/>
      <c r="K296" s="117"/>
      <c r="L296" s="117"/>
      <c r="M296" s="117"/>
      <c r="N296" s="117"/>
      <c r="O296" s="117"/>
      <c r="P296" s="117"/>
      <c r="Q296" s="117"/>
      <c r="R296" s="117"/>
      <c r="S296" s="117"/>
      <c r="T296" s="117"/>
      <c r="U296" s="117"/>
      <c r="V296" s="117"/>
      <c r="W296" s="117"/>
      <c r="X296" s="117"/>
      <c r="Y296" s="117"/>
      <c r="Z296" s="117"/>
      <c r="AA296" s="117"/>
      <c r="AB296" s="117"/>
      <c r="AC296" s="117"/>
      <c r="AD296" s="117"/>
      <c r="AE296" s="117"/>
      <c r="AF296" s="117"/>
      <c r="AG296" s="117"/>
      <c r="AH296" s="117"/>
    </row>
    <row r="297" spans="1:34" s="161" customFormat="1" x14ac:dyDescent="0.2">
      <c r="A297" s="157"/>
      <c r="B297" s="274"/>
      <c r="C297" s="117"/>
      <c r="D297" s="117"/>
      <c r="E297" s="117"/>
      <c r="F297" s="117"/>
      <c r="G297" s="117"/>
      <c r="H297" s="160"/>
      <c r="I297" s="117"/>
      <c r="J297" s="117"/>
      <c r="K297" s="117"/>
      <c r="L297" s="117"/>
      <c r="M297" s="117"/>
      <c r="N297" s="117"/>
      <c r="O297" s="117"/>
      <c r="P297" s="117"/>
      <c r="Q297" s="117"/>
      <c r="R297" s="117"/>
      <c r="S297" s="117"/>
      <c r="T297" s="117"/>
      <c r="U297" s="117"/>
      <c r="V297" s="117"/>
      <c r="W297" s="117"/>
      <c r="X297" s="117"/>
      <c r="Y297" s="117"/>
      <c r="Z297" s="117"/>
      <c r="AA297" s="117"/>
      <c r="AB297" s="117"/>
      <c r="AC297" s="117"/>
      <c r="AD297" s="117"/>
      <c r="AE297" s="117"/>
      <c r="AF297" s="117"/>
      <c r="AG297" s="117"/>
      <c r="AH297" s="117"/>
    </row>
    <row r="298" spans="1:34" s="161" customFormat="1" x14ac:dyDescent="0.2">
      <c r="A298" s="157"/>
      <c r="B298" s="274"/>
      <c r="C298" s="117"/>
      <c r="D298" s="117"/>
      <c r="E298" s="117"/>
      <c r="F298" s="117"/>
      <c r="G298" s="117"/>
      <c r="H298" s="160"/>
      <c r="I298" s="117"/>
      <c r="J298" s="117"/>
      <c r="K298" s="117"/>
      <c r="L298" s="117"/>
      <c r="M298" s="117"/>
      <c r="N298" s="117"/>
      <c r="O298" s="117"/>
      <c r="P298" s="117"/>
      <c r="Q298" s="117"/>
      <c r="R298" s="117"/>
      <c r="S298" s="117"/>
      <c r="T298" s="117"/>
      <c r="U298" s="117"/>
      <c r="V298" s="117"/>
      <c r="W298" s="117"/>
      <c r="X298" s="117"/>
      <c r="Y298" s="117"/>
      <c r="Z298" s="117"/>
      <c r="AA298" s="117"/>
      <c r="AB298" s="117"/>
      <c r="AC298" s="117"/>
      <c r="AD298" s="117"/>
      <c r="AE298" s="117"/>
      <c r="AF298" s="117"/>
      <c r="AG298" s="117"/>
      <c r="AH298" s="117"/>
    </row>
    <row r="299" spans="1:34" s="161" customFormat="1" x14ac:dyDescent="0.2">
      <c r="A299" s="157"/>
      <c r="B299" s="274"/>
      <c r="C299" s="117"/>
      <c r="D299" s="117"/>
      <c r="E299" s="117"/>
      <c r="F299" s="117"/>
      <c r="G299" s="117"/>
      <c r="H299" s="160"/>
      <c r="I299" s="117"/>
      <c r="J299" s="117"/>
      <c r="K299" s="117"/>
      <c r="L299" s="117"/>
      <c r="M299" s="117"/>
      <c r="N299" s="117"/>
      <c r="O299" s="117"/>
      <c r="P299" s="117"/>
      <c r="Q299" s="117"/>
      <c r="R299" s="117"/>
      <c r="S299" s="117"/>
      <c r="T299" s="117"/>
      <c r="U299" s="117"/>
      <c r="V299" s="117"/>
      <c r="W299" s="117"/>
      <c r="X299" s="117"/>
      <c r="Y299" s="117"/>
      <c r="Z299" s="117"/>
      <c r="AA299" s="117"/>
      <c r="AB299" s="117"/>
      <c r="AC299" s="117"/>
      <c r="AD299" s="117"/>
      <c r="AE299" s="117"/>
      <c r="AF299" s="117"/>
      <c r="AG299" s="117"/>
      <c r="AH299" s="117"/>
    </row>
    <row r="300" spans="1:34" s="161" customFormat="1" x14ac:dyDescent="0.2">
      <c r="A300" s="157"/>
      <c r="B300" s="274"/>
      <c r="C300" s="117"/>
      <c r="D300" s="117"/>
      <c r="E300" s="117"/>
      <c r="F300" s="117"/>
      <c r="G300" s="117"/>
      <c r="H300" s="160"/>
      <c r="I300" s="117"/>
      <c r="J300" s="117"/>
      <c r="K300" s="117"/>
      <c r="L300" s="117"/>
      <c r="M300" s="117"/>
      <c r="N300" s="117"/>
      <c r="O300" s="117"/>
      <c r="P300" s="117"/>
      <c r="Q300" s="117"/>
      <c r="R300" s="117"/>
      <c r="S300" s="117"/>
      <c r="T300" s="117"/>
      <c r="U300" s="117"/>
      <c r="V300" s="117"/>
      <c r="W300" s="117"/>
      <c r="X300" s="117"/>
      <c r="Y300" s="117"/>
      <c r="Z300" s="117"/>
      <c r="AA300" s="117"/>
      <c r="AB300" s="117"/>
      <c r="AC300" s="117"/>
      <c r="AD300" s="117"/>
      <c r="AE300" s="117"/>
      <c r="AF300" s="117"/>
      <c r="AG300" s="117"/>
      <c r="AH300" s="117"/>
    </row>
    <row r="301" spans="1:34" s="161" customFormat="1" x14ac:dyDescent="0.2">
      <c r="A301" s="157"/>
      <c r="B301" s="274"/>
      <c r="C301" s="117"/>
      <c r="D301" s="117"/>
      <c r="E301" s="117"/>
      <c r="F301" s="117"/>
      <c r="G301" s="117"/>
      <c r="H301" s="160"/>
      <c r="I301" s="117"/>
      <c r="J301" s="117"/>
      <c r="K301" s="117"/>
      <c r="L301" s="117"/>
      <c r="M301" s="117"/>
      <c r="N301" s="117"/>
      <c r="O301" s="117"/>
      <c r="P301" s="117"/>
      <c r="Q301" s="117"/>
      <c r="R301" s="117"/>
      <c r="S301" s="117"/>
      <c r="T301" s="117"/>
      <c r="U301" s="117"/>
      <c r="V301" s="117"/>
      <c r="W301" s="117"/>
      <c r="X301" s="117"/>
      <c r="Y301" s="117"/>
      <c r="Z301" s="117"/>
      <c r="AA301" s="117"/>
      <c r="AB301" s="117"/>
      <c r="AC301" s="117"/>
      <c r="AD301" s="117"/>
      <c r="AE301" s="117"/>
      <c r="AF301" s="117"/>
      <c r="AG301" s="117"/>
      <c r="AH301" s="117"/>
    </row>
    <row r="302" spans="1:34" s="161" customFormat="1" x14ac:dyDescent="0.2">
      <c r="A302" s="157"/>
      <c r="B302" s="274"/>
      <c r="C302" s="117"/>
      <c r="D302" s="117"/>
      <c r="E302" s="117"/>
      <c r="F302" s="117"/>
      <c r="G302" s="117"/>
      <c r="H302" s="160"/>
      <c r="I302" s="117"/>
      <c r="J302" s="117"/>
      <c r="K302" s="117"/>
      <c r="L302" s="117"/>
      <c r="M302" s="117"/>
      <c r="N302" s="117"/>
      <c r="O302" s="117"/>
      <c r="P302" s="117"/>
      <c r="Q302" s="117"/>
      <c r="R302" s="117"/>
      <c r="S302" s="117"/>
      <c r="T302" s="117"/>
      <c r="U302" s="117"/>
      <c r="V302" s="117"/>
      <c r="W302" s="117"/>
      <c r="X302" s="117"/>
      <c r="Y302" s="117"/>
      <c r="Z302" s="117"/>
      <c r="AA302" s="117"/>
      <c r="AB302" s="117"/>
      <c r="AC302" s="117"/>
      <c r="AD302" s="117"/>
      <c r="AE302" s="117"/>
      <c r="AF302" s="117"/>
      <c r="AG302" s="117"/>
      <c r="AH302" s="117"/>
    </row>
    <row r="303" spans="1:34" s="161" customFormat="1" ht="15" customHeight="1" x14ac:dyDescent="0.2">
      <c r="A303" s="157"/>
      <c r="B303" s="274"/>
      <c r="C303" s="117"/>
      <c r="D303" s="117"/>
      <c r="E303" s="117"/>
      <c r="F303" s="117"/>
      <c r="G303" s="117"/>
      <c r="H303" s="160"/>
      <c r="I303" s="117"/>
      <c r="J303" s="117"/>
      <c r="K303" s="117"/>
      <c r="L303" s="117"/>
      <c r="M303" s="117"/>
      <c r="N303" s="117"/>
      <c r="O303" s="117"/>
      <c r="P303" s="117"/>
      <c r="Q303" s="117"/>
      <c r="R303" s="117"/>
      <c r="S303" s="117"/>
      <c r="T303" s="117"/>
      <c r="U303" s="117"/>
      <c r="V303" s="117"/>
      <c r="W303" s="117"/>
      <c r="X303" s="117"/>
      <c r="Y303" s="117"/>
      <c r="Z303" s="117"/>
      <c r="AA303" s="117"/>
      <c r="AB303" s="117"/>
      <c r="AC303" s="117"/>
      <c r="AD303" s="117"/>
      <c r="AE303" s="117"/>
      <c r="AF303" s="117"/>
      <c r="AG303" s="117"/>
      <c r="AH303" s="117"/>
    </row>
    <row r="304" spans="1:34" s="161" customFormat="1" x14ac:dyDescent="0.2">
      <c r="A304" s="157"/>
      <c r="B304" s="274"/>
      <c r="C304" s="117"/>
      <c r="D304" s="117"/>
      <c r="E304" s="117"/>
      <c r="F304" s="117"/>
      <c r="G304" s="117"/>
      <c r="H304" s="160"/>
      <c r="I304" s="117"/>
      <c r="J304" s="117"/>
      <c r="K304" s="117"/>
      <c r="L304" s="117"/>
      <c r="M304" s="117"/>
      <c r="N304" s="117"/>
      <c r="O304" s="117"/>
      <c r="P304" s="117"/>
      <c r="Q304" s="117"/>
      <c r="R304" s="117"/>
      <c r="S304" s="117"/>
      <c r="T304" s="117"/>
      <c r="U304" s="117"/>
      <c r="V304" s="117"/>
      <c r="W304" s="117"/>
      <c r="X304" s="117"/>
      <c r="Y304" s="117"/>
      <c r="Z304" s="117"/>
      <c r="AA304" s="117"/>
      <c r="AB304" s="117"/>
      <c r="AC304" s="117"/>
      <c r="AD304" s="117"/>
      <c r="AE304" s="117"/>
      <c r="AF304" s="117"/>
      <c r="AG304" s="117"/>
      <c r="AH304" s="117"/>
    </row>
    <row r="305" spans="1:34" s="161" customFormat="1" x14ac:dyDescent="0.2">
      <c r="A305" s="157"/>
      <c r="B305" s="274"/>
      <c r="C305" s="117"/>
      <c r="D305" s="117"/>
      <c r="E305" s="117"/>
      <c r="F305" s="117"/>
      <c r="G305" s="117"/>
      <c r="H305" s="160"/>
      <c r="I305" s="117"/>
      <c r="J305" s="117"/>
      <c r="K305" s="117"/>
      <c r="L305" s="117"/>
      <c r="M305" s="117"/>
      <c r="N305" s="117"/>
      <c r="O305" s="117"/>
      <c r="P305" s="117"/>
      <c r="Q305" s="117"/>
      <c r="R305" s="117"/>
      <c r="S305" s="117"/>
      <c r="T305" s="117"/>
      <c r="U305" s="117"/>
      <c r="V305" s="117"/>
      <c r="W305" s="117"/>
      <c r="X305" s="117"/>
      <c r="Y305" s="117"/>
      <c r="Z305" s="117"/>
      <c r="AA305" s="117"/>
      <c r="AB305" s="117"/>
      <c r="AC305" s="117"/>
      <c r="AD305" s="117"/>
      <c r="AE305" s="117"/>
      <c r="AF305" s="117"/>
      <c r="AG305" s="117"/>
      <c r="AH305" s="117"/>
    </row>
    <row r="306" spans="1:34" s="161" customFormat="1" x14ac:dyDescent="0.2">
      <c r="A306" s="157"/>
      <c r="B306" s="274"/>
      <c r="C306" s="117"/>
      <c r="D306" s="117"/>
      <c r="E306" s="117"/>
      <c r="F306" s="117"/>
      <c r="G306" s="117"/>
      <c r="H306" s="160"/>
      <c r="I306" s="117"/>
      <c r="J306" s="117"/>
      <c r="K306" s="117"/>
      <c r="L306" s="117"/>
      <c r="M306" s="117"/>
      <c r="N306" s="117"/>
      <c r="O306" s="117"/>
      <c r="P306" s="117"/>
      <c r="Q306" s="117"/>
      <c r="R306" s="117"/>
      <c r="S306" s="117"/>
      <c r="T306" s="117"/>
      <c r="U306" s="117"/>
      <c r="V306" s="117"/>
      <c r="W306" s="117"/>
      <c r="X306" s="117"/>
      <c r="Y306" s="117"/>
      <c r="Z306" s="117"/>
      <c r="AA306" s="117"/>
      <c r="AB306" s="117"/>
      <c r="AC306" s="117"/>
      <c r="AD306" s="117"/>
      <c r="AE306" s="117"/>
      <c r="AF306" s="117"/>
      <c r="AG306" s="117"/>
      <c r="AH306" s="117"/>
    </row>
    <row r="307" spans="1:34" s="161" customFormat="1" x14ac:dyDescent="0.2">
      <c r="A307" s="157"/>
      <c r="B307" s="274"/>
      <c r="C307" s="117"/>
      <c r="D307" s="117"/>
      <c r="E307" s="117"/>
      <c r="F307" s="117"/>
      <c r="G307" s="117"/>
      <c r="H307" s="160"/>
      <c r="I307" s="117"/>
      <c r="J307" s="117"/>
      <c r="K307" s="117"/>
      <c r="L307" s="117"/>
      <c r="M307" s="117"/>
      <c r="N307" s="117"/>
      <c r="O307" s="117"/>
      <c r="P307" s="117"/>
      <c r="Q307" s="117"/>
      <c r="R307" s="117"/>
      <c r="S307" s="117"/>
      <c r="T307" s="117"/>
      <c r="U307" s="117"/>
      <c r="V307" s="117"/>
      <c r="W307" s="117"/>
      <c r="X307" s="117"/>
      <c r="Y307" s="117"/>
      <c r="Z307" s="117"/>
      <c r="AA307" s="117"/>
      <c r="AB307" s="117"/>
      <c r="AC307" s="117"/>
      <c r="AD307" s="117"/>
      <c r="AE307" s="117"/>
      <c r="AF307" s="117"/>
      <c r="AG307" s="117"/>
      <c r="AH307" s="117"/>
    </row>
    <row r="308" spans="1:34" s="161" customFormat="1" x14ac:dyDescent="0.2">
      <c r="A308" s="157"/>
      <c r="B308" s="274"/>
      <c r="C308" s="117"/>
      <c r="D308" s="117"/>
      <c r="E308" s="117"/>
      <c r="F308" s="117"/>
      <c r="G308" s="117"/>
      <c r="H308" s="160"/>
      <c r="I308" s="117"/>
      <c r="J308" s="117"/>
      <c r="K308" s="117"/>
      <c r="L308" s="117"/>
      <c r="M308" s="117"/>
      <c r="N308" s="117"/>
      <c r="O308" s="117"/>
      <c r="P308" s="117"/>
      <c r="Q308" s="117"/>
      <c r="R308" s="117"/>
      <c r="S308" s="117"/>
      <c r="T308" s="117"/>
      <c r="U308" s="117"/>
      <c r="V308" s="117"/>
      <c r="W308" s="117"/>
      <c r="X308" s="117"/>
      <c r="Y308" s="117"/>
      <c r="Z308" s="117"/>
      <c r="AA308" s="117"/>
      <c r="AB308" s="117"/>
      <c r="AC308" s="117"/>
      <c r="AD308" s="117"/>
      <c r="AE308" s="117"/>
      <c r="AF308" s="117"/>
      <c r="AG308" s="117"/>
      <c r="AH308" s="117"/>
    </row>
    <row r="309" spans="1:34" s="161" customFormat="1" x14ac:dyDescent="0.2">
      <c r="A309" s="157"/>
      <c r="B309" s="274"/>
      <c r="C309" s="117"/>
      <c r="D309" s="117"/>
      <c r="E309" s="117"/>
      <c r="F309" s="117"/>
      <c r="G309" s="117"/>
      <c r="H309" s="160"/>
      <c r="I309" s="117"/>
      <c r="J309" s="117"/>
      <c r="K309" s="117"/>
      <c r="L309" s="117"/>
      <c r="M309" s="117"/>
      <c r="N309" s="117"/>
      <c r="O309" s="117"/>
      <c r="P309" s="117"/>
      <c r="Q309" s="117"/>
      <c r="R309" s="117"/>
      <c r="S309" s="117"/>
      <c r="T309" s="117"/>
      <c r="U309" s="117"/>
      <c r="V309" s="117"/>
      <c r="W309" s="117"/>
      <c r="X309" s="117"/>
      <c r="Y309" s="117"/>
      <c r="Z309" s="117"/>
      <c r="AA309" s="117"/>
      <c r="AB309" s="117"/>
      <c r="AC309" s="117"/>
      <c r="AD309" s="117"/>
      <c r="AE309" s="117"/>
      <c r="AF309" s="117"/>
      <c r="AG309" s="117"/>
      <c r="AH309" s="117"/>
    </row>
    <row r="310" spans="1:34" s="161" customFormat="1" x14ac:dyDescent="0.2">
      <c r="A310" s="157"/>
      <c r="B310" s="274"/>
      <c r="C310" s="117"/>
      <c r="D310" s="117"/>
      <c r="E310" s="117"/>
      <c r="F310" s="117"/>
      <c r="G310" s="117"/>
      <c r="H310" s="160"/>
      <c r="I310" s="117"/>
      <c r="J310" s="117"/>
      <c r="K310" s="117"/>
      <c r="L310" s="117"/>
      <c r="M310" s="117"/>
      <c r="N310" s="117"/>
      <c r="O310" s="117"/>
      <c r="P310" s="117"/>
      <c r="Q310" s="117"/>
      <c r="R310" s="117"/>
      <c r="S310" s="117"/>
      <c r="T310" s="117"/>
      <c r="U310" s="117"/>
      <c r="V310" s="117"/>
      <c r="W310" s="117"/>
      <c r="X310" s="117"/>
      <c r="Y310" s="117"/>
      <c r="Z310" s="117"/>
      <c r="AA310" s="117"/>
      <c r="AB310" s="117"/>
      <c r="AC310" s="117"/>
      <c r="AD310" s="117"/>
      <c r="AE310" s="117"/>
      <c r="AF310" s="117"/>
      <c r="AG310" s="117"/>
      <c r="AH310" s="117"/>
    </row>
    <row r="311" spans="1:34" s="161" customFormat="1" x14ac:dyDescent="0.2">
      <c r="A311" s="157"/>
      <c r="B311" s="274"/>
      <c r="C311" s="117"/>
      <c r="D311" s="117"/>
      <c r="E311" s="117"/>
      <c r="F311" s="117"/>
      <c r="G311" s="117"/>
      <c r="H311" s="160"/>
      <c r="I311" s="117"/>
      <c r="J311" s="117"/>
      <c r="K311" s="117"/>
      <c r="L311" s="117"/>
      <c r="M311" s="117"/>
      <c r="N311" s="117"/>
      <c r="O311" s="117"/>
      <c r="P311" s="117"/>
      <c r="Q311" s="117"/>
      <c r="R311" s="117"/>
      <c r="S311" s="117"/>
      <c r="T311" s="117"/>
      <c r="U311" s="117"/>
      <c r="V311" s="117"/>
      <c r="W311" s="117"/>
      <c r="X311" s="117"/>
      <c r="Y311" s="117"/>
      <c r="Z311" s="117"/>
      <c r="AA311" s="117"/>
      <c r="AB311" s="117"/>
      <c r="AC311" s="117"/>
      <c r="AD311" s="117"/>
      <c r="AE311" s="117"/>
      <c r="AF311" s="117"/>
      <c r="AG311" s="117"/>
      <c r="AH311" s="117"/>
    </row>
    <row r="312" spans="1:34" s="161" customFormat="1" x14ac:dyDescent="0.2">
      <c r="A312" s="157"/>
      <c r="B312" s="274"/>
      <c r="C312" s="117"/>
      <c r="D312" s="117"/>
      <c r="E312" s="117"/>
      <c r="F312" s="117"/>
      <c r="G312" s="117"/>
      <c r="H312" s="160"/>
      <c r="I312" s="117"/>
      <c r="J312" s="117"/>
      <c r="K312" s="117"/>
      <c r="L312" s="117"/>
      <c r="M312" s="117"/>
      <c r="N312" s="117"/>
      <c r="O312" s="117"/>
      <c r="P312" s="117"/>
      <c r="Q312" s="117"/>
      <c r="R312" s="117"/>
      <c r="S312" s="117"/>
      <c r="T312" s="117"/>
      <c r="U312" s="117"/>
      <c r="V312" s="117"/>
      <c r="W312" s="117"/>
      <c r="X312" s="117"/>
      <c r="Y312" s="117"/>
      <c r="Z312" s="117"/>
      <c r="AA312" s="117"/>
      <c r="AB312" s="117"/>
      <c r="AC312" s="117"/>
      <c r="AD312" s="117"/>
      <c r="AE312" s="117"/>
      <c r="AF312" s="117"/>
      <c r="AG312" s="117"/>
      <c r="AH312" s="117"/>
    </row>
    <row r="313" spans="1:34" s="161" customFormat="1" ht="15" customHeight="1" x14ac:dyDescent="0.2">
      <c r="A313" s="157"/>
      <c r="B313" s="274"/>
      <c r="C313" s="117"/>
      <c r="D313" s="117"/>
      <c r="E313" s="117"/>
      <c r="F313" s="117"/>
      <c r="G313" s="117"/>
      <c r="H313" s="160"/>
      <c r="I313" s="117"/>
      <c r="J313" s="117"/>
      <c r="K313" s="117"/>
      <c r="L313" s="117"/>
      <c r="M313" s="117"/>
      <c r="N313" s="117"/>
      <c r="O313" s="117"/>
      <c r="P313" s="117"/>
      <c r="Q313" s="117"/>
      <c r="R313" s="117"/>
      <c r="S313" s="117"/>
      <c r="T313" s="117"/>
      <c r="U313" s="117"/>
      <c r="V313" s="117"/>
      <c r="W313" s="117"/>
      <c r="X313" s="117"/>
      <c r="Y313" s="117"/>
      <c r="Z313" s="117"/>
      <c r="AA313" s="117"/>
      <c r="AB313" s="117"/>
      <c r="AC313" s="117"/>
      <c r="AD313" s="117"/>
      <c r="AE313" s="117"/>
      <c r="AF313" s="117"/>
      <c r="AG313" s="117"/>
      <c r="AH313" s="117"/>
    </row>
    <row r="314" spans="1:34" s="161" customFormat="1" x14ac:dyDescent="0.2">
      <c r="A314" s="157"/>
      <c r="B314" s="274"/>
      <c r="C314" s="117"/>
      <c r="D314" s="117"/>
      <c r="E314" s="117"/>
      <c r="F314" s="117"/>
      <c r="G314" s="117"/>
      <c r="H314" s="160"/>
      <c r="I314" s="117"/>
      <c r="J314" s="117"/>
      <c r="K314" s="117"/>
      <c r="L314" s="117"/>
      <c r="M314" s="117"/>
      <c r="N314" s="117"/>
      <c r="O314" s="117"/>
      <c r="P314" s="117"/>
      <c r="Q314" s="117"/>
      <c r="R314" s="117"/>
      <c r="S314" s="117"/>
      <c r="T314" s="117"/>
      <c r="U314" s="117"/>
      <c r="V314" s="117"/>
      <c r="W314" s="117"/>
      <c r="X314" s="117"/>
      <c r="Y314" s="117"/>
      <c r="Z314" s="117"/>
      <c r="AA314" s="117"/>
      <c r="AB314" s="117"/>
      <c r="AC314" s="117"/>
      <c r="AD314" s="117"/>
      <c r="AE314" s="117"/>
      <c r="AF314" s="117"/>
      <c r="AG314" s="117"/>
      <c r="AH314" s="117"/>
    </row>
    <row r="315" spans="1:34" s="161" customFormat="1" ht="15" customHeight="1" x14ac:dyDescent="0.2">
      <c r="A315" s="157"/>
      <c r="B315" s="274"/>
      <c r="C315" s="117"/>
      <c r="D315" s="117"/>
      <c r="E315" s="117"/>
      <c r="F315" s="117"/>
      <c r="G315" s="117"/>
      <c r="H315" s="160"/>
      <c r="I315" s="117"/>
      <c r="J315" s="117"/>
      <c r="K315" s="117"/>
      <c r="L315" s="117"/>
      <c r="M315" s="117"/>
      <c r="N315" s="117"/>
      <c r="O315" s="117"/>
      <c r="P315" s="117"/>
      <c r="Q315" s="117"/>
      <c r="R315" s="117"/>
      <c r="S315" s="117"/>
      <c r="T315" s="117"/>
      <c r="U315" s="117"/>
      <c r="V315" s="117"/>
      <c r="W315" s="117"/>
      <c r="X315" s="117"/>
      <c r="Y315" s="117"/>
      <c r="Z315" s="117"/>
      <c r="AA315" s="117"/>
      <c r="AB315" s="117"/>
      <c r="AC315" s="117"/>
      <c r="AD315" s="117"/>
      <c r="AE315" s="117"/>
      <c r="AF315" s="117"/>
      <c r="AG315" s="117"/>
      <c r="AH315" s="117"/>
    </row>
    <row r="316" spans="1:34" s="161" customFormat="1" x14ac:dyDescent="0.2">
      <c r="A316" s="157"/>
      <c r="B316" s="274"/>
      <c r="C316" s="117"/>
      <c r="D316" s="117"/>
      <c r="E316" s="117"/>
      <c r="F316" s="117"/>
      <c r="G316" s="117"/>
      <c r="H316" s="160"/>
      <c r="I316" s="117"/>
      <c r="J316" s="117"/>
      <c r="K316" s="117"/>
      <c r="L316" s="117"/>
      <c r="M316" s="117"/>
      <c r="N316" s="117"/>
      <c r="O316" s="117"/>
      <c r="P316" s="117"/>
      <c r="Q316" s="117"/>
      <c r="R316" s="117"/>
      <c r="S316" s="117"/>
      <c r="T316" s="117"/>
      <c r="U316" s="117"/>
      <c r="V316" s="117"/>
      <c r="W316" s="117"/>
      <c r="X316" s="117"/>
      <c r="Y316" s="117"/>
      <c r="Z316" s="117"/>
      <c r="AA316" s="117"/>
      <c r="AB316" s="117"/>
      <c r="AC316" s="117"/>
      <c r="AD316" s="117"/>
      <c r="AE316" s="117"/>
      <c r="AF316" s="117"/>
      <c r="AG316" s="117"/>
      <c r="AH316" s="117"/>
    </row>
    <row r="317" spans="1:34" s="161" customFormat="1" x14ac:dyDescent="0.2">
      <c r="A317" s="157"/>
      <c r="B317" s="274"/>
      <c r="C317" s="117"/>
      <c r="D317" s="117"/>
      <c r="E317" s="117"/>
      <c r="F317" s="117"/>
      <c r="G317" s="117"/>
      <c r="H317" s="160"/>
      <c r="I317" s="117"/>
      <c r="J317" s="117"/>
      <c r="K317" s="117"/>
      <c r="L317" s="117"/>
      <c r="M317" s="117"/>
      <c r="N317" s="117"/>
      <c r="O317" s="117"/>
      <c r="P317" s="117"/>
      <c r="Q317" s="117"/>
      <c r="R317" s="117"/>
      <c r="S317" s="117"/>
      <c r="T317" s="117"/>
      <c r="U317" s="117"/>
      <c r="V317" s="117"/>
      <c r="W317" s="117"/>
      <c r="X317" s="117"/>
      <c r="Y317" s="117"/>
      <c r="Z317" s="117"/>
      <c r="AA317" s="117"/>
      <c r="AB317" s="117"/>
      <c r="AC317" s="117"/>
      <c r="AD317" s="117"/>
      <c r="AE317" s="117"/>
      <c r="AF317" s="117"/>
      <c r="AG317" s="117"/>
      <c r="AH317" s="117"/>
    </row>
    <row r="318" spans="1:34" s="161" customFormat="1" x14ac:dyDescent="0.2">
      <c r="A318" s="157"/>
      <c r="B318" s="274"/>
      <c r="C318" s="117"/>
      <c r="D318" s="117"/>
      <c r="E318" s="117"/>
      <c r="F318" s="117"/>
      <c r="G318" s="117"/>
      <c r="H318" s="160"/>
      <c r="I318" s="117"/>
      <c r="J318" s="117"/>
      <c r="K318" s="117"/>
      <c r="L318" s="117"/>
      <c r="M318" s="117"/>
      <c r="N318" s="117"/>
      <c r="O318" s="117"/>
      <c r="P318" s="117"/>
      <c r="Q318" s="117"/>
      <c r="R318" s="117"/>
      <c r="S318" s="117"/>
      <c r="T318" s="117"/>
      <c r="U318" s="117"/>
      <c r="V318" s="117"/>
      <c r="W318" s="117"/>
      <c r="X318" s="117"/>
      <c r="Y318" s="117"/>
      <c r="Z318" s="117"/>
      <c r="AA318" s="117"/>
      <c r="AB318" s="117"/>
      <c r="AC318" s="117"/>
      <c r="AD318" s="117"/>
      <c r="AE318" s="117"/>
      <c r="AF318" s="117"/>
      <c r="AG318" s="117"/>
      <c r="AH318" s="117"/>
    </row>
    <row r="319" spans="1:34" s="161" customFormat="1" x14ac:dyDescent="0.2">
      <c r="A319" s="157"/>
      <c r="B319" s="274"/>
      <c r="C319" s="117"/>
      <c r="D319" s="117"/>
      <c r="E319" s="117"/>
      <c r="F319" s="117"/>
      <c r="G319" s="117"/>
      <c r="H319" s="160"/>
      <c r="I319" s="117"/>
      <c r="J319" s="117"/>
      <c r="K319" s="117"/>
      <c r="L319" s="117"/>
      <c r="M319" s="117"/>
      <c r="N319" s="117"/>
      <c r="O319" s="117"/>
      <c r="P319" s="117"/>
      <c r="Q319" s="117"/>
      <c r="R319" s="117"/>
      <c r="S319" s="117"/>
      <c r="T319" s="117"/>
      <c r="U319" s="117"/>
      <c r="V319" s="117"/>
      <c r="W319" s="117"/>
      <c r="X319" s="117"/>
      <c r="Y319" s="117"/>
      <c r="Z319" s="117"/>
      <c r="AA319" s="117"/>
      <c r="AB319" s="117"/>
      <c r="AC319" s="117"/>
      <c r="AD319" s="117"/>
      <c r="AE319" s="117"/>
      <c r="AF319" s="117"/>
      <c r="AG319" s="117"/>
      <c r="AH319" s="117"/>
    </row>
    <row r="320" spans="1:34" s="161" customFormat="1" x14ac:dyDescent="0.2">
      <c r="A320" s="157"/>
      <c r="B320" s="274"/>
      <c r="C320" s="117"/>
      <c r="D320" s="117"/>
      <c r="E320" s="117"/>
      <c r="F320" s="117"/>
      <c r="G320" s="117"/>
      <c r="H320" s="160"/>
      <c r="I320" s="117"/>
      <c r="J320" s="117"/>
      <c r="K320" s="117"/>
      <c r="L320" s="117"/>
      <c r="M320" s="117"/>
      <c r="N320" s="117"/>
      <c r="O320" s="117"/>
      <c r="P320" s="117"/>
      <c r="Q320" s="117"/>
      <c r="R320" s="117"/>
      <c r="S320" s="117"/>
      <c r="T320" s="117"/>
      <c r="U320" s="117"/>
      <c r="V320" s="117"/>
      <c r="W320" s="117"/>
      <c r="X320" s="117"/>
      <c r="Y320" s="117"/>
      <c r="Z320" s="117"/>
      <c r="AA320" s="117"/>
      <c r="AB320" s="117"/>
      <c r="AC320" s="117"/>
      <c r="AD320" s="117"/>
      <c r="AE320" s="117"/>
      <c r="AF320" s="117"/>
      <c r="AG320" s="117"/>
      <c r="AH320" s="117"/>
    </row>
    <row r="321" spans="1:34" s="161" customFormat="1" x14ac:dyDescent="0.2">
      <c r="A321" s="157"/>
      <c r="B321" s="274"/>
      <c r="C321" s="117"/>
      <c r="D321" s="117"/>
      <c r="E321" s="117"/>
      <c r="F321" s="117"/>
      <c r="G321" s="117"/>
      <c r="H321" s="160"/>
      <c r="I321" s="117"/>
      <c r="J321" s="117"/>
      <c r="K321" s="117"/>
      <c r="L321" s="117"/>
      <c r="M321" s="117"/>
      <c r="N321" s="117"/>
      <c r="O321" s="117"/>
      <c r="P321" s="117"/>
      <c r="Q321" s="117"/>
      <c r="R321" s="117"/>
      <c r="S321" s="117"/>
      <c r="T321" s="117"/>
      <c r="U321" s="117"/>
      <c r="V321" s="117"/>
      <c r="W321" s="117"/>
      <c r="X321" s="117"/>
      <c r="Y321" s="117"/>
      <c r="Z321" s="117"/>
      <c r="AA321" s="117"/>
      <c r="AB321" s="117"/>
      <c r="AC321" s="117"/>
      <c r="AD321" s="117"/>
      <c r="AE321" s="117"/>
      <c r="AF321" s="117"/>
      <c r="AG321" s="117"/>
      <c r="AH321" s="117"/>
    </row>
    <row r="322" spans="1:34" s="161" customFormat="1" ht="15" customHeight="1" x14ac:dyDescent="0.2">
      <c r="A322" s="157"/>
      <c r="B322" s="274"/>
      <c r="C322" s="117"/>
      <c r="D322" s="117"/>
      <c r="E322" s="117"/>
      <c r="F322" s="117"/>
      <c r="G322" s="117"/>
      <c r="H322" s="160"/>
      <c r="I322" s="117"/>
      <c r="J322" s="117"/>
      <c r="K322" s="117"/>
      <c r="L322" s="117"/>
      <c r="M322" s="117"/>
      <c r="N322" s="117"/>
      <c r="O322" s="117"/>
      <c r="P322" s="117"/>
      <c r="Q322" s="117"/>
      <c r="R322" s="117"/>
      <c r="S322" s="117"/>
      <c r="T322" s="117"/>
      <c r="U322" s="117"/>
      <c r="V322" s="117"/>
      <c r="W322" s="117"/>
      <c r="X322" s="117"/>
      <c r="Y322" s="117"/>
      <c r="Z322" s="117"/>
      <c r="AA322" s="117"/>
      <c r="AB322" s="117"/>
      <c r="AC322" s="117"/>
      <c r="AD322" s="117"/>
      <c r="AE322" s="117"/>
      <c r="AF322" s="117"/>
      <c r="AG322" s="117"/>
      <c r="AH322" s="117"/>
    </row>
    <row r="323" spans="1:34" s="161" customFormat="1" x14ac:dyDescent="0.2">
      <c r="A323" s="157"/>
      <c r="B323" s="274"/>
      <c r="C323" s="117"/>
      <c r="D323" s="117"/>
      <c r="E323" s="117"/>
      <c r="F323" s="117"/>
      <c r="G323" s="117"/>
      <c r="H323" s="160"/>
      <c r="I323" s="117"/>
      <c r="J323" s="117"/>
      <c r="K323" s="117"/>
      <c r="L323" s="117"/>
      <c r="M323" s="117"/>
      <c r="N323" s="117"/>
      <c r="O323" s="117"/>
      <c r="P323" s="117"/>
      <c r="Q323" s="117"/>
      <c r="R323" s="117"/>
      <c r="S323" s="117"/>
      <c r="T323" s="117"/>
      <c r="U323" s="117"/>
      <c r="V323" s="117"/>
      <c r="W323" s="117"/>
      <c r="X323" s="117"/>
      <c r="Y323" s="117"/>
      <c r="Z323" s="117"/>
      <c r="AA323" s="117"/>
      <c r="AB323" s="117"/>
      <c r="AC323" s="117"/>
      <c r="AD323" s="117"/>
      <c r="AE323" s="117"/>
      <c r="AF323" s="117"/>
      <c r="AG323" s="117"/>
      <c r="AH323" s="117"/>
    </row>
    <row r="324" spans="1:34" s="161" customFormat="1" x14ac:dyDescent="0.2">
      <c r="A324" s="157"/>
      <c r="B324" s="274"/>
      <c r="C324" s="117"/>
      <c r="D324" s="117"/>
      <c r="E324" s="117"/>
      <c r="F324" s="117"/>
      <c r="G324" s="117"/>
      <c r="H324" s="160"/>
      <c r="I324" s="117"/>
      <c r="J324" s="117"/>
      <c r="K324" s="117"/>
      <c r="L324" s="117"/>
      <c r="M324" s="117"/>
      <c r="N324" s="117"/>
      <c r="O324" s="117"/>
      <c r="P324" s="117"/>
      <c r="Q324" s="117"/>
      <c r="R324" s="117"/>
      <c r="S324" s="117"/>
      <c r="T324" s="117"/>
      <c r="U324" s="117"/>
      <c r="V324" s="117"/>
      <c r="W324" s="117"/>
      <c r="X324" s="117"/>
      <c r="Y324" s="117"/>
      <c r="Z324" s="117"/>
      <c r="AA324" s="117"/>
      <c r="AB324" s="117"/>
      <c r="AC324" s="117"/>
      <c r="AD324" s="117"/>
      <c r="AE324" s="117"/>
      <c r="AF324" s="117"/>
      <c r="AG324" s="117"/>
      <c r="AH324" s="117"/>
    </row>
    <row r="325" spans="1:34" s="161" customFormat="1" x14ac:dyDescent="0.2">
      <c r="A325" s="157"/>
      <c r="B325" s="274"/>
      <c r="C325" s="117"/>
      <c r="D325" s="117"/>
      <c r="E325" s="117"/>
      <c r="F325" s="117"/>
      <c r="G325" s="117"/>
      <c r="H325" s="160"/>
      <c r="I325" s="117"/>
      <c r="J325" s="117"/>
      <c r="K325" s="117"/>
      <c r="L325" s="117"/>
      <c r="M325" s="117"/>
      <c r="N325" s="117"/>
      <c r="O325" s="117"/>
      <c r="P325" s="117"/>
      <c r="Q325" s="117"/>
      <c r="R325" s="117"/>
      <c r="S325" s="117"/>
      <c r="T325" s="117"/>
      <c r="U325" s="117"/>
      <c r="V325" s="117"/>
      <c r="W325" s="117"/>
      <c r="X325" s="117"/>
      <c r="Y325" s="117"/>
      <c r="Z325" s="117"/>
      <c r="AA325" s="117"/>
      <c r="AB325" s="117"/>
      <c r="AC325" s="117"/>
      <c r="AD325" s="117"/>
      <c r="AE325" s="117"/>
      <c r="AF325" s="117"/>
      <c r="AG325" s="117"/>
      <c r="AH325" s="117"/>
    </row>
    <row r="326" spans="1:34" s="161" customFormat="1" x14ac:dyDescent="0.2">
      <c r="A326" s="157"/>
      <c r="B326" s="274"/>
      <c r="C326" s="117"/>
      <c r="D326" s="117"/>
      <c r="E326" s="117"/>
      <c r="F326" s="117"/>
      <c r="G326" s="117"/>
      <c r="H326" s="160"/>
      <c r="I326" s="117"/>
      <c r="J326" s="117"/>
      <c r="K326" s="117"/>
      <c r="L326" s="117"/>
      <c r="M326" s="117"/>
      <c r="N326" s="117"/>
      <c r="O326" s="117"/>
      <c r="P326" s="117"/>
      <c r="Q326" s="117"/>
      <c r="R326" s="117"/>
      <c r="S326" s="117"/>
      <c r="T326" s="117"/>
      <c r="U326" s="117"/>
      <c r="V326" s="117"/>
      <c r="W326" s="117"/>
      <c r="X326" s="117"/>
      <c r="Y326" s="117"/>
      <c r="Z326" s="117"/>
      <c r="AA326" s="117"/>
      <c r="AB326" s="117"/>
      <c r="AC326" s="117"/>
      <c r="AD326" s="117"/>
      <c r="AE326" s="117"/>
      <c r="AF326" s="117"/>
      <c r="AG326" s="117"/>
      <c r="AH326" s="117"/>
    </row>
    <row r="327" spans="1:34" s="161" customFormat="1" x14ac:dyDescent="0.2">
      <c r="A327" s="157"/>
      <c r="B327" s="274"/>
      <c r="C327" s="117"/>
      <c r="D327" s="117"/>
      <c r="E327" s="117"/>
      <c r="F327" s="117"/>
      <c r="G327" s="117"/>
      <c r="H327" s="160"/>
      <c r="I327" s="117"/>
      <c r="J327" s="117"/>
      <c r="K327" s="117"/>
      <c r="L327" s="117"/>
      <c r="M327" s="117"/>
      <c r="N327" s="117"/>
      <c r="O327" s="117"/>
      <c r="P327" s="117"/>
      <c r="Q327" s="117"/>
      <c r="R327" s="117"/>
      <c r="S327" s="117"/>
      <c r="T327" s="117"/>
      <c r="U327" s="117"/>
      <c r="V327" s="117"/>
      <c r="W327" s="117"/>
      <c r="X327" s="117"/>
      <c r="Y327" s="117"/>
      <c r="Z327" s="117"/>
      <c r="AA327" s="117"/>
      <c r="AB327" s="117"/>
      <c r="AC327" s="117"/>
      <c r="AD327" s="117"/>
      <c r="AE327" s="117"/>
      <c r="AF327" s="117"/>
      <c r="AG327" s="117"/>
      <c r="AH327" s="117"/>
    </row>
    <row r="328" spans="1:34" s="161" customFormat="1" x14ac:dyDescent="0.2">
      <c r="A328" s="157"/>
      <c r="B328" s="274"/>
      <c r="C328" s="117"/>
      <c r="D328" s="117"/>
      <c r="E328" s="117"/>
      <c r="F328" s="117"/>
      <c r="G328" s="117"/>
      <c r="H328" s="160"/>
      <c r="I328" s="117"/>
      <c r="J328" s="117"/>
      <c r="K328" s="117"/>
      <c r="L328" s="117"/>
      <c r="M328" s="117"/>
      <c r="N328" s="117"/>
      <c r="O328" s="117"/>
      <c r="P328" s="117"/>
      <c r="Q328" s="117"/>
      <c r="R328" s="117"/>
      <c r="S328" s="117"/>
      <c r="T328" s="117"/>
      <c r="U328" s="117"/>
      <c r="V328" s="117"/>
      <c r="W328" s="117"/>
      <c r="X328" s="117"/>
      <c r="Y328" s="117"/>
      <c r="Z328" s="117"/>
      <c r="AA328" s="117"/>
      <c r="AB328" s="117"/>
      <c r="AC328" s="117"/>
      <c r="AD328" s="117"/>
      <c r="AE328" s="117"/>
      <c r="AF328" s="117"/>
      <c r="AG328" s="117"/>
      <c r="AH328" s="117"/>
    </row>
    <row r="329" spans="1:34" s="161" customFormat="1" x14ac:dyDescent="0.2">
      <c r="A329" s="157"/>
      <c r="B329" s="274"/>
      <c r="C329" s="117"/>
      <c r="D329" s="117"/>
      <c r="E329" s="117"/>
      <c r="F329" s="117"/>
      <c r="G329" s="117"/>
      <c r="H329" s="160"/>
      <c r="I329" s="117"/>
      <c r="J329" s="117"/>
      <c r="K329" s="117"/>
      <c r="L329" s="117"/>
      <c r="M329" s="117"/>
      <c r="N329" s="117"/>
      <c r="O329" s="117"/>
      <c r="P329" s="117"/>
      <c r="Q329" s="117"/>
      <c r="R329" s="117"/>
      <c r="S329" s="117"/>
      <c r="T329" s="117"/>
      <c r="U329" s="117"/>
      <c r="V329" s="117"/>
      <c r="W329" s="117"/>
      <c r="X329" s="117"/>
      <c r="Y329" s="117"/>
      <c r="Z329" s="117"/>
      <c r="AA329" s="117"/>
      <c r="AB329" s="117"/>
      <c r="AC329" s="117"/>
      <c r="AD329" s="117"/>
      <c r="AE329" s="117"/>
      <c r="AF329" s="117"/>
      <c r="AG329" s="117"/>
      <c r="AH329" s="117"/>
    </row>
    <row r="330" spans="1:34" s="161" customFormat="1" x14ac:dyDescent="0.2">
      <c r="A330" s="157"/>
      <c r="B330" s="274"/>
      <c r="C330" s="117"/>
      <c r="D330" s="117"/>
      <c r="E330" s="117"/>
      <c r="F330" s="117"/>
      <c r="G330" s="117"/>
      <c r="H330" s="160"/>
      <c r="I330" s="117"/>
      <c r="J330" s="117"/>
      <c r="K330" s="117"/>
      <c r="L330" s="117"/>
      <c r="M330" s="117"/>
      <c r="N330" s="117"/>
      <c r="O330" s="117"/>
      <c r="P330" s="117"/>
      <c r="Q330" s="117"/>
      <c r="R330" s="117"/>
      <c r="S330" s="117"/>
      <c r="T330" s="117"/>
      <c r="U330" s="117"/>
      <c r="V330" s="117"/>
      <c r="W330" s="117"/>
      <c r="X330" s="117"/>
      <c r="Y330" s="117"/>
      <c r="Z330" s="117"/>
      <c r="AA330" s="117"/>
      <c r="AB330" s="117"/>
      <c r="AC330" s="117"/>
      <c r="AD330" s="117"/>
      <c r="AE330" s="117"/>
      <c r="AF330" s="117"/>
      <c r="AG330" s="117"/>
      <c r="AH330" s="117"/>
    </row>
    <row r="331" spans="1:34" s="161" customFormat="1" x14ac:dyDescent="0.2">
      <c r="A331" s="157"/>
      <c r="B331" s="274"/>
      <c r="C331" s="117"/>
      <c r="D331" s="117"/>
      <c r="E331" s="117"/>
      <c r="F331" s="117"/>
      <c r="G331" s="117"/>
      <c r="H331" s="160"/>
      <c r="I331" s="117"/>
      <c r="J331" s="117"/>
      <c r="K331" s="117"/>
      <c r="L331" s="117"/>
      <c r="M331" s="117"/>
      <c r="N331" s="117"/>
      <c r="O331" s="117"/>
      <c r="P331" s="117"/>
      <c r="Q331" s="117"/>
      <c r="R331" s="117"/>
      <c r="S331" s="117"/>
      <c r="T331" s="117"/>
      <c r="U331" s="117"/>
      <c r="V331" s="117"/>
      <c r="W331" s="117"/>
      <c r="X331" s="117"/>
      <c r="Y331" s="117"/>
      <c r="Z331" s="117"/>
      <c r="AA331" s="117"/>
      <c r="AB331" s="117"/>
      <c r="AC331" s="117"/>
      <c r="AD331" s="117"/>
      <c r="AE331" s="117"/>
      <c r="AF331" s="117"/>
      <c r="AG331" s="117"/>
      <c r="AH331" s="117"/>
    </row>
    <row r="332" spans="1:34" s="161" customFormat="1" x14ac:dyDescent="0.2">
      <c r="A332" s="157"/>
      <c r="B332" s="274"/>
      <c r="C332" s="117"/>
      <c r="D332" s="117"/>
      <c r="E332" s="117"/>
      <c r="F332" s="117"/>
      <c r="G332" s="117"/>
      <c r="H332" s="160"/>
      <c r="I332" s="117"/>
      <c r="J332" s="117"/>
      <c r="K332" s="117"/>
      <c r="L332" s="117"/>
      <c r="M332" s="117"/>
      <c r="N332" s="117"/>
      <c r="O332" s="117"/>
      <c r="P332" s="117"/>
      <c r="Q332" s="117"/>
      <c r="R332" s="117"/>
      <c r="S332" s="117"/>
      <c r="T332" s="117"/>
      <c r="U332" s="117"/>
      <c r="V332" s="117"/>
      <c r="W332" s="117"/>
      <c r="X332" s="117"/>
      <c r="Y332" s="117"/>
      <c r="Z332" s="117"/>
      <c r="AA332" s="117"/>
      <c r="AB332" s="117"/>
      <c r="AC332" s="117"/>
      <c r="AD332" s="117"/>
      <c r="AE332" s="117"/>
      <c r="AF332" s="117"/>
      <c r="AG332" s="117"/>
      <c r="AH332" s="117"/>
    </row>
    <row r="333" spans="1:34" s="161" customFormat="1" x14ac:dyDescent="0.2">
      <c r="A333" s="157"/>
      <c r="B333" s="274"/>
      <c r="C333" s="117"/>
      <c r="D333" s="117"/>
      <c r="E333" s="117"/>
      <c r="F333" s="117"/>
      <c r="G333" s="117"/>
      <c r="H333" s="160"/>
      <c r="I333" s="117"/>
      <c r="J333" s="117"/>
      <c r="K333" s="117"/>
      <c r="L333" s="117"/>
      <c r="M333" s="117"/>
      <c r="N333" s="117"/>
      <c r="O333" s="117"/>
      <c r="P333" s="117"/>
      <c r="Q333" s="117"/>
      <c r="R333" s="117"/>
      <c r="S333" s="117"/>
      <c r="T333" s="117"/>
      <c r="U333" s="117"/>
      <c r="V333" s="117"/>
      <c r="W333" s="117"/>
      <c r="X333" s="117"/>
      <c r="Y333" s="117"/>
      <c r="Z333" s="117"/>
      <c r="AA333" s="117"/>
      <c r="AB333" s="117"/>
      <c r="AC333" s="117"/>
      <c r="AD333" s="117"/>
      <c r="AE333" s="117"/>
      <c r="AF333" s="117"/>
      <c r="AG333" s="117"/>
      <c r="AH333" s="117"/>
    </row>
    <row r="334" spans="1:34" s="161" customFormat="1" x14ac:dyDescent="0.2">
      <c r="A334" s="157"/>
      <c r="B334" s="274"/>
      <c r="C334" s="117"/>
      <c r="D334" s="117"/>
      <c r="E334" s="117"/>
      <c r="F334" s="117"/>
      <c r="G334" s="117"/>
      <c r="H334" s="160"/>
      <c r="I334" s="117"/>
      <c r="J334" s="117"/>
      <c r="K334" s="117"/>
      <c r="L334" s="117"/>
      <c r="M334" s="117"/>
      <c r="N334" s="117"/>
      <c r="O334" s="117"/>
      <c r="P334" s="117"/>
      <c r="Q334" s="117"/>
      <c r="R334" s="117"/>
      <c r="S334" s="117"/>
      <c r="T334" s="117"/>
      <c r="U334" s="117"/>
      <c r="V334" s="117"/>
      <c r="W334" s="117"/>
      <c r="X334" s="117"/>
      <c r="Y334" s="117"/>
      <c r="Z334" s="117"/>
      <c r="AA334" s="117"/>
      <c r="AB334" s="117"/>
      <c r="AC334" s="117"/>
      <c r="AD334" s="117"/>
      <c r="AE334" s="117"/>
      <c r="AF334" s="117"/>
      <c r="AG334" s="117"/>
      <c r="AH334" s="117"/>
    </row>
    <row r="335" spans="1:34" s="161" customFormat="1" x14ac:dyDescent="0.2">
      <c r="A335" s="157"/>
      <c r="B335" s="274"/>
      <c r="C335" s="117"/>
      <c r="D335" s="117"/>
      <c r="E335" s="117"/>
      <c r="F335" s="117"/>
      <c r="G335" s="117"/>
      <c r="H335" s="160"/>
      <c r="I335" s="117"/>
      <c r="J335" s="117"/>
      <c r="K335" s="117"/>
      <c r="L335" s="117"/>
      <c r="M335" s="117"/>
      <c r="N335" s="117"/>
      <c r="O335" s="117"/>
      <c r="P335" s="117"/>
      <c r="Q335" s="117"/>
      <c r="R335" s="117"/>
      <c r="S335" s="117"/>
      <c r="T335" s="117"/>
      <c r="U335" s="117"/>
      <c r="V335" s="117"/>
      <c r="W335" s="117"/>
      <c r="X335" s="117"/>
      <c r="Y335" s="117"/>
      <c r="Z335" s="117"/>
      <c r="AA335" s="117"/>
      <c r="AB335" s="117"/>
      <c r="AC335" s="117"/>
      <c r="AD335" s="117"/>
      <c r="AE335" s="117"/>
      <c r="AF335" s="117"/>
      <c r="AG335" s="117"/>
      <c r="AH335" s="117"/>
    </row>
    <row r="336" spans="1:34" s="161" customFormat="1" x14ac:dyDescent="0.2">
      <c r="A336" s="157"/>
      <c r="B336" s="274"/>
      <c r="C336" s="117"/>
      <c r="D336" s="117"/>
      <c r="E336" s="117"/>
      <c r="F336" s="117"/>
      <c r="G336" s="117"/>
      <c r="H336" s="160"/>
      <c r="I336" s="117"/>
      <c r="J336" s="117"/>
      <c r="K336" s="117"/>
      <c r="L336" s="117"/>
      <c r="M336" s="117"/>
      <c r="N336" s="117"/>
      <c r="O336" s="117"/>
      <c r="P336" s="117"/>
      <c r="Q336" s="117"/>
      <c r="R336" s="117"/>
      <c r="S336" s="117"/>
      <c r="T336" s="117"/>
      <c r="U336" s="117"/>
      <c r="V336" s="117"/>
      <c r="W336" s="117"/>
      <c r="X336" s="117"/>
      <c r="Y336" s="117"/>
      <c r="Z336" s="117"/>
      <c r="AA336" s="117"/>
      <c r="AB336" s="117"/>
      <c r="AC336" s="117"/>
      <c r="AD336" s="117"/>
      <c r="AE336" s="117"/>
      <c r="AF336" s="117"/>
      <c r="AG336" s="117"/>
      <c r="AH336" s="117"/>
    </row>
    <row r="337" spans="1:34" s="161" customFormat="1" x14ac:dyDescent="0.2">
      <c r="A337" s="157"/>
      <c r="B337" s="274"/>
      <c r="C337" s="117"/>
      <c r="D337" s="117"/>
      <c r="E337" s="117"/>
      <c r="F337" s="117"/>
      <c r="G337" s="117"/>
      <c r="H337" s="160"/>
      <c r="I337" s="117"/>
      <c r="J337" s="117"/>
      <c r="K337" s="117"/>
      <c r="L337" s="117"/>
      <c r="M337" s="117"/>
      <c r="N337" s="117"/>
      <c r="O337" s="117"/>
      <c r="P337" s="117"/>
      <c r="Q337" s="117"/>
      <c r="R337" s="117"/>
      <c r="S337" s="117"/>
      <c r="T337" s="117"/>
      <c r="U337" s="117"/>
      <c r="V337" s="117"/>
      <c r="W337" s="117"/>
      <c r="X337" s="117"/>
      <c r="Y337" s="117"/>
      <c r="Z337" s="117"/>
      <c r="AA337" s="117"/>
      <c r="AB337" s="117"/>
      <c r="AC337" s="117"/>
      <c r="AD337" s="117"/>
      <c r="AE337" s="117"/>
      <c r="AF337" s="117"/>
      <c r="AG337" s="117"/>
      <c r="AH337" s="117"/>
    </row>
    <row r="338" spans="1:34" s="161" customFormat="1" x14ac:dyDescent="0.2">
      <c r="A338" s="157"/>
      <c r="B338" s="274"/>
      <c r="C338" s="117"/>
      <c r="D338" s="117"/>
      <c r="E338" s="117"/>
      <c r="F338" s="117"/>
      <c r="G338" s="117"/>
      <c r="H338" s="160"/>
      <c r="I338" s="117"/>
      <c r="J338" s="117"/>
      <c r="K338" s="117"/>
      <c r="L338" s="117"/>
      <c r="M338" s="117"/>
      <c r="N338" s="117"/>
      <c r="O338" s="117"/>
      <c r="P338" s="117"/>
      <c r="Q338" s="117"/>
      <c r="R338" s="117"/>
      <c r="S338" s="117"/>
      <c r="T338" s="117"/>
      <c r="U338" s="117"/>
      <c r="V338" s="117"/>
      <c r="W338" s="117"/>
      <c r="X338" s="117"/>
      <c r="Y338" s="117"/>
      <c r="Z338" s="117"/>
      <c r="AA338" s="117"/>
      <c r="AB338" s="117"/>
      <c r="AC338" s="117"/>
      <c r="AD338" s="117"/>
      <c r="AE338" s="117"/>
      <c r="AF338" s="117"/>
      <c r="AG338" s="117"/>
      <c r="AH338" s="117"/>
    </row>
    <row r="339" spans="1:34" s="161" customFormat="1" x14ac:dyDescent="0.2">
      <c r="A339" s="157"/>
      <c r="B339" s="274"/>
      <c r="C339" s="117"/>
      <c r="D339" s="117"/>
      <c r="E339" s="117"/>
      <c r="F339" s="117"/>
      <c r="G339" s="117"/>
      <c r="H339" s="160"/>
      <c r="I339" s="117"/>
      <c r="J339" s="117"/>
      <c r="K339" s="117"/>
      <c r="L339" s="117"/>
      <c r="M339" s="117"/>
      <c r="N339" s="117"/>
      <c r="O339" s="117"/>
      <c r="P339" s="117"/>
      <c r="Q339" s="117"/>
      <c r="R339" s="117"/>
      <c r="S339" s="117"/>
      <c r="T339" s="117"/>
      <c r="U339" s="117"/>
      <c r="V339" s="117"/>
      <c r="W339" s="117"/>
      <c r="X339" s="117"/>
      <c r="Y339" s="117"/>
      <c r="Z339" s="117"/>
      <c r="AA339" s="117"/>
      <c r="AB339" s="117"/>
      <c r="AC339" s="117"/>
      <c r="AD339" s="117"/>
      <c r="AE339" s="117"/>
      <c r="AF339" s="117"/>
      <c r="AG339" s="117"/>
      <c r="AH339" s="117"/>
    </row>
    <row r="340" spans="1:34" s="161" customFormat="1" x14ac:dyDescent="0.2">
      <c r="A340" s="157"/>
      <c r="B340" s="274"/>
      <c r="C340" s="117"/>
      <c r="D340" s="117"/>
      <c r="E340" s="117"/>
      <c r="F340" s="117"/>
      <c r="G340" s="117"/>
      <c r="H340" s="160"/>
      <c r="I340" s="117"/>
      <c r="J340" s="117"/>
      <c r="K340" s="117"/>
      <c r="L340" s="117"/>
      <c r="M340" s="117"/>
      <c r="N340" s="117"/>
      <c r="O340" s="117"/>
      <c r="P340" s="117"/>
      <c r="Q340" s="117"/>
      <c r="R340" s="117"/>
      <c r="S340" s="117"/>
      <c r="T340" s="117"/>
      <c r="U340" s="117"/>
      <c r="V340" s="117"/>
      <c r="W340" s="117"/>
      <c r="X340" s="117"/>
      <c r="Y340" s="117"/>
      <c r="Z340" s="117"/>
      <c r="AA340" s="117"/>
      <c r="AB340" s="117"/>
      <c r="AC340" s="117"/>
      <c r="AD340" s="117"/>
      <c r="AE340" s="117"/>
      <c r="AF340" s="117"/>
      <c r="AG340" s="117"/>
      <c r="AH340" s="117"/>
    </row>
    <row r="341" spans="1:34" s="161" customFormat="1" x14ac:dyDescent="0.2">
      <c r="A341" s="157"/>
      <c r="B341" s="274"/>
      <c r="C341" s="117"/>
      <c r="D341" s="117"/>
      <c r="E341" s="117"/>
      <c r="F341" s="117"/>
      <c r="G341" s="117"/>
      <c r="H341" s="160"/>
      <c r="I341" s="117"/>
      <c r="J341" s="117"/>
      <c r="K341" s="117"/>
      <c r="L341" s="117"/>
      <c r="M341" s="117"/>
      <c r="N341" s="117"/>
      <c r="O341" s="117"/>
      <c r="P341" s="117"/>
      <c r="Q341" s="117"/>
      <c r="R341" s="117"/>
      <c r="S341" s="117"/>
      <c r="T341" s="117"/>
      <c r="U341" s="117"/>
      <c r="V341" s="117"/>
      <c r="W341" s="117"/>
      <c r="X341" s="117"/>
      <c r="Y341" s="117"/>
      <c r="Z341" s="117"/>
      <c r="AA341" s="117"/>
      <c r="AB341" s="117"/>
      <c r="AC341" s="117"/>
      <c r="AD341" s="117"/>
      <c r="AE341" s="117"/>
      <c r="AF341" s="117"/>
      <c r="AG341" s="117"/>
      <c r="AH341" s="117"/>
    </row>
    <row r="342" spans="1:34" s="161" customFormat="1" x14ac:dyDescent="0.2">
      <c r="A342" s="157"/>
      <c r="B342" s="274"/>
      <c r="C342" s="117"/>
      <c r="D342" s="117"/>
      <c r="E342" s="117"/>
      <c r="F342" s="117"/>
      <c r="G342" s="117"/>
      <c r="H342" s="160"/>
      <c r="I342" s="117"/>
      <c r="J342" s="117"/>
      <c r="K342" s="117"/>
      <c r="L342" s="117"/>
      <c r="M342" s="117"/>
      <c r="N342" s="117"/>
      <c r="O342" s="117"/>
      <c r="P342" s="117"/>
      <c r="Q342" s="117"/>
      <c r="R342" s="117"/>
      <c r="S342" s="117"/>
      <c r="T342" s="117"/>
      <c r="U342" s="117"/>
      <c r="V342" s="117"/>
      <c r="W342" s="117"/>
      <c r="X342" s="117"/>
      <c r="Y342" s="117"/>
      <c r="Z342" s="117"/>
      <c r="AA342" s="117"/>
      <c r="AB342" s="117"/>
      <c r="AC342" s="117"/>
      <c r="AD342" s="117"/>
      <c r="AE342" s="117"/>
      <c r="AF342" s="117"/>
      <c r="AG342" s="117"/>
      <c r="AH342" s="117"/>
    </row>
    <row r="343" spans="1:34" s="161" customFormat="1" x14ac:dyDescent="0.2">
      <c r="A343" s="157"/>
      <c r="B343" s="274"/>
      <c r="C343" s="117"/>
      <c r="D343" s="117"/>
      <c r="E343" s="117"/>
      <c r="F343" s="117"/>
      <c r="G343" s="117"/>
      <c r="H343" s="160"/>
      <c r="I343" s="117"/>
      <c r="J343" s="117"/>
      <c r="K343" s="117"/>
      <c r="L343" s="117"/>
      <c r="M343" s="117"/>
      <c r="N343" s="117"/>
      <c r="O343" s="117"/>
      <c r="P343" s="117"/>
      <c r="Q343" s="117"/>
      <c r="R343" s="117"/>
      <c r="S343" s="117"/>
      <c r="T343" s="117"/>
      <c r="U343" s="117"/>
      <c r="V343" s="117"/>
      <c r="W343" s="117"/>
      <c r="X343" s="117"/>
      <c r="Y343" s="117"/>
      <c r="Z343" s="117"/>
      <c r="AA343" s="117"/>
      <c r="AB343" s="117"/>
      <c r="AC343" s="117"/>
      <c r="AD343" s="117"/>
      <c r="AE343" s="117"/>
      <c r="AF343" s="117"/>
      <c r="AG343" s="117"/>
      <c r="AH343" s="117"/>
    </row>
    <row r="344" spans="1:34" s="161" customFormat="1" x14ac:dyDescent="0.2">
      <c r="A344" s="157"/>
      <c r="B344" s="274"/>
      <c r="C344" s="117"/>
      <c r="D344" s="117"/>
      <c r="E344" s="117"/>
      <c r="F344" s="117"/>
      <c r="G344" s="117"/>
      <c r="H344" s="160"/>
      <c r="I344" s="117"/>
      <c r="J344" s="117"/>
      <c r="K344" s="117"/>
      <c r="L344" s="117"/>
      <c r="M344" s="117"/>
      <c r="N344" s="117"/>
      <c r="O344" s="117"/>
      <c r="P344" s="117"/>
      <c r="Q344" s="117"/>
      <c r="R344" s="117"/>
      <c r="S344" s="117"/>
      <c r="T344" s="117"/>
      <c r="U344" s="117"/>
      <c r="V344" s="117"/>
      <c r="W344" s="117"/>
      <c r="X344" s="117"/>
      <c r="Y344" s="117"/>
      <c r="Z344" s="117"/>
      <c r="AA344" s="117"/>
      <c r="AB344" s="117"/>
      <c r="AC344" s="117"/>
      <c r="AD344" s="117"/>
      <c r="AE344" s="117"/>
      <c r="AF344" s="117"/>
      <c r="AG344" s="117"/>
      <c r="AH344" s="117"/>
    </row>
    <row r="345" spans="1:34" s="161" customFormat="1" x14ac:dyDescent="0.2">
      <c r="A345" s="157"/>
      <c r="B345" s="274"/>
      <c r="C345" s="117"/>
      <c r="D345" s="117"/>
      <c r="E345" s="117"/>
      <c r="F345" s="117"/>
      <c r="G345" s="117"/>
      <c r="H345" s="160"/>
      <c r="I345" s="117"/>
      <c r="J345" s="117"/>
      <c r="K345" s="117"/>
      <c r="L345" s="117"/>
      <c r="M345" s="117"/>
      <c r="N345" s="117"/>
      <c r="O345" s="117"/>
      <c r="P345" s="117"/>
      <c r="Q345" s="117"/>
      <c r="R345" s="117"/>
      <c r="S345" s="117"/>
      <c r="T345" s="117"/>
      <c r="U345" s="117"/>
      <c r="V345" s="117"/>
      <c r="W345" s="117"/>
      <c r="X345" s="117"/>
      <c r="Y345" s="117"/>
      <c r="Z345" s="117"/>
      <c r="AA345" s="117"/>
      <c r="AB345" s="117"/>
      <c r="AC345" s="117"/>
      <c r="AD345" s="117"/>
      <c r="AE345" s="117"/>
      <c r="AF345" s="117"/>
      <c r="AG345" s="117"/>
      <c r="AH345" s="117"/>
    </row>
    <row r="346" spans="1:34" s="161" customFormat="1" x14ac:dyDescent="0.2">
      <c r="A346" s="157"/>
      <c r="B346" s="274"/>
      <c r="C346" s="117"/>
      <c r="D346" s="117"/>
      <c r="E346" s="117"/>
      <c r="F346" s="117"/>
      <c r="G346" s="117"/>
      <c r="H346" s="160"/>
      <c r="I346" s="117"/>
      <c r="J346" s="117"/>
      <c r="K346" s="117"/>
      <c r="L346" s="117"/>
      <c r="M346" s="117"/>
      <c r="N346" s="117"/>
      <c r="O346" s="117"/>
      <c r="P346" s="117"/>
      <c r="Q346" s="117"/>
      <c r="R346" s="117"/>
      <c r="S346" s="117"/>
      <c r="T346" s="117"/>
      <c r="U346" s="117"/>
      <c r="V346" s="117"/>
      <c r="W346" s="117"/>
      <c r="X346" s="117"/>
      <c r="Y346" s="117"/>
      <c r="Z346" s="117"/>
      <c r="AA346" s="117"/>
      <c r="AB346" s="117"/>
      <c r="AC346" s="117"/>
      <c r="AD346" s="117"/>
      <c r="AE346" s="117"/>
      <c r="AF346" s="117"/>
      <c r="AG346" s="117"/>
      <c r="AH346" s="117"/>
    </row>
    <row r="347" spans="1:34" s="161" customFormat="1" x14ac:dyDescent="0.2">
      <c r="A347" s="157"/>
      <c r="B347" s="274"/>
      <c r="C347" s="117"/>
      <c r="D347" s="117"/>
      <c r="E347" s="117"/>
      <c r="F347" s="117"/>
      <c r="G347" s="117"/>
      <c r="H347" s="160"/>
      <c r="I347" s="117"/>
      <c r="J347" s="117"/>
      <c r="K347" s="117"/>
      <c r="L347" s="117"/>
      <c r="M347" s="117"/>
      <c r="N347" s="117"/>
      <c r="O347" s="117"/>
      <c r="P347" s="117"/>
      <c r="Q347" s="117"/>
      <c r="R347" s="117"/>
      <c r="S347" s="117"/>
      <c r="T347" s="117"/>
      <c r="U347" s="117"/>
      <c r="V347" s="117"/>
      <c r="W347" s="117"/>
      <c r="X347" s="117"/>
      <c r="Y347" s="117"/>
      <c r="Z347" s="117"/>
      <c r="AA347" s="117"/>
      <c r="AB347" s="117"/>
      <c r="AC347" s="117"/>
      <c r="AD347" s="117"/>
      <c r="AE347" s="117"/>
      <c r="AF347" s="117"/>
      <c r="AG347" s="117"/>
      <c r="AH347" s="117"/>
    </row>
    <row r="348" spans="1:34" s="161" customFormat="1" x14ac:dyDescent="0.2">
      <c r="A348" s="157"/>
      <c r="B348" s="274"/>
      <c r="C348" s="117"/>
      <c r="D348" s="117"/>
      <c r="E348" s="117"/>
      <c r="F348" s="117"/>
      <c r="G348" s="117"/>
      <c r="H348" s="160"/>
      <c r="I348" s="117"/>
      <c r="J348" s="117"/>
      <c r="K348" s="117"/>
      <c r="L348" s="117"/>
      <c r="M348" s="117"/>
      <c r="N348" s="117"/>
      <c r="O348" s="117"/>
      <c r="P348" s="117"/>
      <c r="Q348" s="117"/>
      <c r="R348" s="117"/>
      <c r="S348" s="117"/>
      <c r="T348" s="117"/>
      <c r="U348" s="117"/>
      <c r="V348" s="117"/>
      <c r="W348" s="117"/>
      <c r="X348" s="117"/>
      <c r="Y348" s="117"/>
      <c r="Z348" s="117"/>
      <c r="AA348" s="117"/>
      <c r="AB348" s="117"/>
      <c r="AC348" s="117"/>
      <c r="AD348" s="117"/>
      <c r="AE348" s="117"/>
      <c r="AF348" s="117"/>
      <c r="AG348" s="117"/>
      <c r="AH348" s="117"/>
    </row>
    <row r="349" spans="1:34" s="161" customFormat="1" x14ac:dyDescent="0.2">
      <c r="A349" s="157"/>
      <c r="B349" s="274"/>
      <c r="C349" s="117"/>
      <c r="D349" s="117"/>
      <c r="E349" s="117"/>
      <c r="F349" s="117"/>
      <c r="G349" s="117"/>
      <c r="H349" s="160"/>
      <c r="I349" s="117"/>
      <c r="J349" s="117"/>
      <c r="K349" s="117"/>
      <c r="L349" s="117"/>
      <c r="M349" s="117"/>
      <c r="N349" s="117"/>
      <c r="O349" s="117"/>
      <c r="P349" s="117"/>
      <c r="Q349" s="117"/>
      <c r="R349" s="117"/>
      <c r="S349" s="117"/>
      <c r="T349" s="117"/>
      <c r="U349" s="117"/>
      <c r="V349" s="117"/>
      <c r="W349" s="117"/>
      <c r="X349" s="117"/>
      <c r="Y349" s="117"/>
      <c r="Z349" s="117"/>
      <c r="AA349" s="117"/>
      <c r="AB349" s="117"/>
      <c r="AC349" s="117"/>
      <c r="AD349" s="117"/>
      <c r="AE349" s="117"/>
      <c r="AF349" s="117"/>
      <c r="AG349" s="117"/>
      <c r="AH349" s="117"/>
    </row>
    <row r="350" spans="1:34" s="161" customFormat="1" x14ac:dyDescent="0.2">
      <c r="A350" s="157"/>
      <c r="B350" s="274"/>
      <c r="C350" s="117"/>
      <c r="D350" s="117"/>
      <c r="E350" s="117"/>
      <c r="F350" s="117"/>
      <c r="G350" s="117"/>
      <c r="H350" s="160"/>
      <c r="I350" s="117"/>
      <c r="J350" s="117"/>
      <c r="K350" s="117"/>
      <c r="L350" s="117"/>
      <c r="M350" s="117"/>
      <c r="N350" s="117"/>
      <c r="O350" s="117"/>
      <c r="P350" s="117"/>
      <c r="Q350" s="117"/>
      <c r="R350" s="117"/>
      <c r="S350" s="117"/>
      <c r="T350" s="117"/>
      <c r="U350" s="117"/>
      <c r="V350" s="117"/>
      <c r="W350" s="117"/>
      <c r="X350" s="117"/>
      <c r="Y350" s="117"/>
      <c r="Z350" s="117"/>
      <c r="AA350" s="117"/>
      <c r="AB350" s="117"/>
      <c r="AC350" s="117"/>
      <c r="AD350" s="117"/>
      <c r="AE350" s="117"/>
      <c r="AF350" s="117"/>
      <c r="AG350" s="117"/>
      <c r="AH350" s="117"/>
    </row>
    <row r="351" spans="1:34" s="161" customFormat="1" x14ac:dyDescent="0.2">
      <c r="A351" s="157"/>
      <c r="B351" s="274"/>
      <c r="C351" s="117"/>
      <c r="D351" s="117"/>
      <c r="E351" s="117"/>
      <c r="F351" s="117"/>
      <c r="G351" s="117"/>
      <c r="H351" s="160"/>
      <c r="I351" s="117"/>
      <c r="J351" s="117"/>
      <c r="K351" s="117"/>
      <c r="L351" s="117"/>
      <c r="M351" s="117"/>
      <c r="N351" s="117"/>
      <c r="O351" s="117"/>
      <c r="P351" s="117"/>
      <c r="Q351" s="117"/>
      <c r="R351" s="117"/>
      <c r="S351" s="117"/>
      <c r="T351" s="117"/>
      <c r="U351" s="117"/>
      <c r="V351" s="117"/>
      <c r="W351" s="117"/>
      <c r="X351" s="117"/>
      <c r="Y351" s="117"/>
      <c r="Z351" s="117"/>
      <c r="AA351" s="117"/>
      <c r="AB351" s="117"/>
      <c r="AC351" s="117"/>
      <c r="AD351" s="117"/>
      <c r="AE351" s="117"/>
      <c r="AF351" s="117"/>
      <c r="AG351" s="117"/>
      <c r="AH351" s="117"/>
    </row>
    <row r="352" spans="1:34" s="161" customFormat="1" x14ac:dyDescent="0.2">
      <c r="A352" s="157"/>
      <c r="B352" s="274"/>
      <c r="C352" s="117"/>
      <c r="D352" s="117"/>
      <c r="E352" s="117"/>
      <c r="F352" s="117"/>
      <c r="G352" s="117"/>
      <c r="H352" s="160"/>
      <c r="I352" s="117"/>
      <c r="J352" s="117"/>
      <c r="K352" s="117"/>
      <c r="L352" s="117"/>
      <c r="M352" s="117"/>
      <c r="N352" s="117"/>
      <c r="O352" s="117"/>
      <c r="P352" s="117"/>
      <c r="Q352" s="117"/>
      <c r="R352" s="117"/>
      <c r="S352" s="117"/>
      <c r="T352" s="117"/>
      <c r="U352" s="117"/>
      <c r="V352" s="117"/>
      <c r="W352" s="117"/>
      <c r="X352" s="117"/>
      <c r="Y352" s="117"/>
      <c r="Z352" s="117"/>
      <c r="AA352" s="117"/>
      <c r="AB352" s="117"/>
      <c r="AC352" s="117"/>
      <c r="AD352" s="117"/>
      <c r="AE352" s="117"/>
      <c r="AF352" s="117"/>
      <c r="AG352" s="117"/>
      <c r="AH352" s="117"/>
    </row>
    <row r="353" spans="1:34" s="161" customFormat="1" x14ac:dyDescent="0.2">
      <c r="A353" s="157"/>
      <c r="B353" s="274"/>
      <c r="C353" s="117"/>
      <c r="D353" s="117"/>
      <c r="E353" s="117"/>
      <c r="F353" s="117"/>
      <c r="G353" s="117"/>
      <c r="H353" s="160"/>
      <c r="I353" s="117"/>
      <c r="J353" s="117"/>
      <c r="K353" s="117"/>
      <c r="L353" s="117"/>
      <c r="M353" s="117"/>
      <c r="N353" s="117"/>
      <c r="O353" s="117"/>
      <c r="P353" s="117"/>
      <c r="Q353" s="117"/>
      <c r="R353" s="117"/>
      <c r="S353" s="117"/>
      <c r="T353" s="117"/>
      <c r="U353" s="117"/>
      <c r="V353" s="117"/>
      <c r="W353" s="117"/>
      <c r="X353" s="117"/>
      <c r="Y353" s="117"/>
      <c r="Z353" s="117"/>
      <c r="AA353" s="117"/>
      <c r="AB353" s="117"/>
      <c r="AC353" s="117"/>
      <c r="AD353" s="117"/>
      <c r="AE353" s="117"/>
      <c r="AF353" s="117"/>
      <c r="AG353" s="117"/>
      <c r="AH353" s="117"/>
    </row>
    <row r="354" spans="1:34" s="161" customFormat="1" x14ac:dyDescent="0.2">
      <c r="A354" s="157"/>
      <c r="B354" s="274"/>
      <c r="C354" s="117"/>
      <c r="D354" s="117"/>
      <c r="E354" s="117"/>
      <c r="F354" s="117"/>
      <c r="G354" s="117"/>
      <c r="H354" s="160"/>
      <c r="I354" s="117"/>
      <c r="J354" s="117"/>
      <c r="K354" s="117"/>
      <c r="L354" s="117"/>
      <c r="M354" s="117"/>
      <c r="N354" s="117"/>
      <c r="O354" s="117"/>
      <c r="P354" s="117"/>
      <c r="Q354" s="117"/>
      <c r="R354" s="117"/>
      <c r="S354" s="117"/>
      <c r="T354" s="117"/>
      <c r="U354" s="117"/>
      <c r="V354" s="117"/>
      <c r="W354" s="117"/>
      <c r="X354" s="117"/>
      <c r="Y354" s="117"/>
      <c r="Z354" s="117"/>
      <c r="AA354" s="117"/>
      <c r="AB354" s="117"/>
      <c r="AC354" s="117"/>
      <c r="AD354" s="117"/>
      <c r="AE354" s="117"/>
      <c r="AF354" s="117"/>
      <c r="AG354" s="117"/>
      <c r="AH354" s="117"/>
    </row>
    <row r="355" spans="1:34" s="161" customFormat="1" x14ac:dyDescent="0.2">
      <c r="A355" s="157"/>
      <c r="B355" s="274"/>
      <c r="C355" s="117"/>
      <c r="D355" s="117"/>
      <c r="E355" s="117"/>
      <c r="F355" s="117"/>
      <c r="G355" s="117"/>
      <c r="H355" s="160"/>
      <c r="I355" s="117"/>
      <c r="J355" s="117"/>
      <c r="K355" s="117"/>
      <c r="L355" s="117"/>
      <c r="M355" s="117"/>
      <c r="N355" s="117"/>
      <c r="O355" s="117"/>
      <c r="P355" s="117"/>
      <c r="Q355" s="117"/>
      <c r="R355" s="117"/>
      <c r="S355" s="117"/>
      <c r="T355" s="117"/>
      <c r="U355" s="117"/>
      <c r="V355" s="117"/>
      <c r="W355" s="117"/>
      <c r="X355" s="117"/>
      <c r="Y355" s="117"/>
      <c r="Z355" s="117"/>
      <c r="AA355" s="117"/>
      <c r="AB355" s="117"/>
      <c r="AC355" s="117"/>
      <c r="AD355" s="117"/>
      <c r="AE355" s="117"/>
      <c r="AF355" s="117"/>
      <c r="AG355" s="117"/>
      <c r="AH355" s="117"/>
    </row>
    <row r="356" spans="1:34" s="161" customFormat="1" x14ac:dyDescent="0.2">
      <c r="A356" s="157"/>
      <c r="B356" s="274"/>
      <c r="C356" s="117"/>
      <c r="D356" s="117"/>
      <c r="E356" s="117"/>
      <c r="F356" s="117"/>
      <c r="G356" s="117"/>
      <c r="H356" s="160"/>
      <c r="I356" s="117"/>
      <c r="J356" s="117"/>
      <c r="K356" s="117"/>
      <c r="L356" s="117"/>
      <c r="M356" s="117"/>
      <c r="N356" s="117"/>
      <c r="O356" s="117"/>
      <c r="P356" s="117"/>
      <c r="Q356" s="117"/>
      <c r="R356" s="117"/>
      <c r="S356" s="117"/>
      <c r="T356" s="117"/>
      <c r="U356" s="117"/>
      <c r="V356" s="117"/>
      <c r="W356" s="117"/>
      <c r="X356" s="117"/>
      <c r="Y356" s="117"/>
      <c r="Z356" s="117"/>
      <c r="AA356" s="117"/>
      <c r="AB356" s="117"/>
      <c r="AC356" s="117"/>
      <c r="AD356" s="117"/>
      <c r="AE356" s="117"/>
      <c r="AF356" s="117"/>
      <c r="AG356" s="117"/>
      <c r="AH356" s="117"/>
    </row>
    <row r="357" spans="1:34" s="161" customFormat="1" x14ac:dyDescent="0.2">
      <c r="A357" s="157"/>
      <c r="B357" s="274"/>
      <c r="C357" s="117"/>
      <c r="D357" s="117"/>
      <c r="E357" s="117"/>
      <c r="F357" s="117"/>
      <c r="G357" s="117"/>
      <c r="H357" s="160"/>
      <c r="I357" s="117"/>
      <c r="J357" s="117"/>
      <c r="K357" s="117"/>
      <c r="L357" s="117"/>
      <c r="M357" s="117"/>
      <c r="N357" s="117"/>
      <c r="O357" s="117"/>
      <c r="P357" s="117"/>
      <c r="Q357" s="117"/>
      <c r="R357" s="117"/>
      <c r="S357" s="117"/>
      <c r="T357" s="117"/>
      <c r="U357" s="117"/>
      <c r="V357" s="117"/>
      <c r="W357" s="117"/>
      <c r="X357" s="117"/>
      <c r="Y357" s="117"/>
      <c r="Z357" s="117"/>
      <c r="AA357" s="117"/>
      <c r="AB357" s="117"/>
      <c r="AC357" s="117"/>
      <c r="AD357" s="117"/>
      <c r="AE357" s="117"/>
      <c r="AF357" s="117"/>
      <c r="AG357" s="117"/>
      <c r="AH357" s="117"/>
    </row>
    <row r="358" spans="1:34" s="161" customFormat="1" x14ac:dyDescent="0.2">
      <c r="A358" s="157"/>
      <c r="B358" s="274"/>
      <c r="C358" s="117"/>
      <c r="D358" s="117"/>
      <c r="E358" s="117"/>
      <c r="F358" s="117"/>
      <c r="G358" s="117"/>
      <c r="H358" s="160"/>
      <c r="I358" s="117"/>
      <c r="J358" s="117"/>
      <c r="K358" s="117"/>
      <c r="L358" s="117"/>
      <c r="M358" s="117"/>
      <c r="N358" s="117"/>
      <c r="O358" s="117"/>
      <c r="P358" s="117"/>
      <c r="Q358" s="117"/>
      <c r="R358" s="117"/>
      <c r="S358" s="117"/>
      <c r="T358" s="117"/>
      <c r="U358" s="117"/>
      <c r="V358" s="117"/>
      <c r="W358" s="117"/>
      <c r="X358" s="117"/>
      <c r="Y358" s="117"/>
      <c r="Z358" s="117"/>
      <c r="AA358" s="117"/>
      <c r="AB358" s="117"/>
      <c r="AC358" s="117"/>
      <c r="AD358" s="117"/>
      <c r="AE358" s="117"/>
      <c r="AF358" s="117"/>
      <c r="AG358" s="117"/>
      <c r="AH358" s="117"/>
    </row>
    <row r="359" spans="1:34" s="161" customFormat="1" x14ac:dyDescent="0.2">
      <c r="A359" s="157"/>
      <c r="B359" s="274"/>
      <c r="C359" s="117"/>
      <c r="D359" s="117"/>
      <c r="E359" s="117"/>
      <c r="F359" s="117"/>
      <c r="G359" s="117"/>
      <c r="H359" s="160"/>
      <c r="I359" s="117"/>
      <c r="J359" s="117"/>
      <c r="K359" s="117"/>
      <c r="L359" s="117"/>
      <c r="M359" s="117"/>
      <c r="N359" s="117"/>
      <c r="O359" s="117"/>
      <c r="P359" s="117"/>
      <c r="Q359" s="117"/>
      <c r="R359" s="117"/>
      <c r="S359" s="117"/>
      <c r="T359" s="117"/>
      <c r="U359" s="117"/>
      <c r="V359" s="117"/>
      <c r="W359" s="117"/>
      <c r="X359" s="117"/>
      <c r="Y359" s="117"/>
      <c r="Z359" s="117"/>
      <c r="AA359" s="117"/>
      <c r="AB359" s="117"/>
      <c r="AC359" s="117"/>
      <c r="AD359" s="117"/>
      <c r="AE359" s="117"/>
      <c r="AF359" s="117"/>
      <c r="AG359" s="117"/>
      <c r="AH359" s="117"/>
    </row>
    <row r="360" spans="1:34" s="161" customFormat="1" x14ac:dyDescent="0.2">
      <c r="A360" s="157"/>
      <c r="B360" s="274"/>
      <c r="C360" s="117"/>
      <c r="D360" s="117"/>
      <c r="E360" s="117"/>
      <c r="F360" s="117"/>
      <c r="G360" s="117"/>
      <c r="H360" s="160"/>
      <c r="I360" s="117"/>
      <c r="J360" s="117"/>
      <c r="K360" s="117"/>
      <c r="L360" s="117"/>
      <c r="M360" s="117"/>
      <c r="N360" s="117"/>
      <c r="O360" s="117"/>
      <c r="P360" s="117"/>
      <c r="Q360" s="117"/>
      <c r="R360" s="117"/>
      <c r="S360" s="117"/>
      <c r="T360" s="117"/>
      <c r="U360" s="117"/>
      <c r="V360" s="117"/>
      <c r="W360" s="117"/>
      <c r="X360" s="117"/>
      <c r="Y360" s="117"/>
      <c r="Z360" s="117"/>
      <c r="AA360" s="117"/>
      <c r="AB360" s="117"/>
      <c r="AC360" s="117"/>
      <c r="AD360" s="117"/>
      <c r="AE360" s="117"/>
      <c r="AF360" s="117"/>
      <c r="AG360" s="117"/>
      <c r="AH360" s="117"/>
    </row>
    <row r="361" spans="1:34" s="161" customFormat="1" ht="15" customHeight="1" x14ac:dyDescent="0.2">
      <c r="A361" s="157"/>
      <c r="B361" s="274"/>
      <c r="C361" s="117"/>
      <c r="D361" s="117"/>
      <c r="E361" s="117"/>
      <c r="F361" s="117"/>
      <c r="G361" s="117"/>
      <c r="H361" s="160"/>
      <c r="I361" s="117"/>
      <c r="J361" s="117"/>
      <c r="K361" s="117"/>
      <c r="L361" s="117"/>
      <c r="M361" s="117"/>
      <c r="N361" s="117"/>
      <c r="O361" s="117"/>
      <c r="P361" s="117"/>
      <c r="Q361" s="117"/>
      <c r="R361" s="117"/>
      <c r="S361" s="117"/>
      <c r="T361" s="117"/>
      <c r="U361" s="117"/>
      <c r="V361" s="117"/>
      <c r="W361" s="117"/>
      <c r="X361" s="117"/>
      <c r="Y361" s="117"/>
      <c r="Z361" s="117"/>
      <c r="AA361" s="117"/>
      <c r="AB361" s="117"/>
      <c r="AC361" s="117"/>
      <c r="AD361" s="117"/>
      <c r="AE361" s="117"/>
      <c r="AF361" s="117"/>
      <c r="AG361" s="117"/>
      <c r="AH361" s="117"/>
    </row>
    <row r="362" spans="1:34" s="161" customFormat="1" x14ac:dyDescent="0.2">
      <c r="A362" s="157"/>
      <c r="B362" s="274"/>
      <c r="C362" s="117"/>
      <c r="D362" s="117"/>
      <c r="E362" s="117"/>
      <c r="F362" s="117"/>
      <c r="G362" s="117"/>
      <c r="H362" s="160"/>
      <c r="I362" s="117"/>
      <c r="J362" s="117"/>
      <c r="K362" s="117"/>
      <c r="L362" s="117"/>
      <c r="M362" s="117"/>
      <c r="N362" s="117"/>
      <c r="O362" s="117"/>
      <c r="P362" s="117"/>
      <c r="Q362" s="117"/>
      <c r="R362" s="117"/>
      <c r="S362" s="117"/>
      <c r="T362" s="117"/>
      <c r="U362" s="117"/>
      <c r="V362" s="117"/>
      <c r="W362" s="117"/>
      <c r="X362" s="117"/>
      <c r="Y362" s="117"/>
      <c r="Z362" s="117"/>
      <c r="AA362" s="117"/>
      <c r="AB362" s="117"/>
      <c r="AC362" s="117"/>
      <c r="AD362" s="117"/>
      <c r="AE362" s="117"/>
      <c r="AF362" s="117"/>
      <c r="AG362" s="117"/>
      <c r="AH362" s="117"/>
    </row>
    <row r="363" spans="1:34" s="161" customFormat="1" x14ac:dyDescent="0.2">
      <c r="A363" s="157"/>
      <c r="B363" s="274"/>
      <c r="C363" s="117"/>
      <c r="D363" s="117"/>
      <c r="E363" s="117"/>
      <c r="F363" s="117"/>
      <c r="G363" s="117"/>
      <c r="H363" s="160"/>
      <c r="I363" s="117"/>
      <c r="J363" s="117"/>
      <c r="K363" s="117"/>
      <c r="L363" s="117"/>
      <c r="M363" s="117"/>
      <c r="N363" s="117"/>
      <c r="O363" s="117"/>
      <c r="P363" s="117"/>
      <c r="Q363" s="117"/>
      <c r="R363" s="117"/>
      <c r="S363" s="117"/>
      <c r="T363" s="117"/>
      <c r="U363" s="117"/>
      <c r="V363" s="117"/>
      <c r="W363" s="117"/>
      <c r="X363" s="117"/>
      <c r="Y363" s="117"/>
      <c r="Z363" s="117"/>
      <c r="AA363" s="117"/>
      <c r="AB363" s="117"/>
      <c r="AC363" s="117"/>
      <c r="AD363" s="117"/>
      <c r="AE363" s="117"/>
      <c r="AF363" s="117"/>
      <c r="AG363" s="117"/>
      <c r="AH363" s="117"/>
    </row>
    <row r="364" spans="1:34" s="161" customFormat="1" x14ac:dyDescent="0.2">
      <c r="A364" s="157"/>
      <c r="B364" s="274"/>
      <c r="C364" s="117"/>
      <c r="D364" s="117"/>
      <c r="E364" s="117"/>
      <c r="F364" s="117"/>
      <c r="G364" s="117"/>
      <c r="H364" s="160"/>
      <c r="I364" s="117"/>
      <c r="J364" s="117"/>
      <c r="K364" s="117"/>
      <c r="L364" s="117"/>
      <c r="M364" s="117"/>
      <c r="N364" s="117"/>
      <c r="O364" s="117"/>
      <c r="P364" s="117"/>
      <c r="Q364" s="117"/>
      <c r="R364" s="117"/>
      <c r="S364" s="117"/>
      <c r="T364" s="117"/>
      <c r="U364" s="117"/>
      <c r="V364" s="117"/>
      <c r="W364" s="117"/>
      <c r="X364" s="117"/>
      <c r="Y364" s="117"/>
      <c r="Z364" s="117"/>
      <c r="AA364" s="117"/>
      <c r="AB364" s="117"/>
      <c r="AC364" s="117"/>
      <c r="AD364" s="117"/>
      <c r="AE364" s="117"/>
      <c r="AF364" s="117"/>
      <c r="AG364" s="117"/>
      <c r="AH364" s="117"/>
    </row>
    <row r="365" spans="1:34" s="161" customFormat="1" ht="15" customHeight="1" x14ac:dyDescent="0.2">
      <c r="A365" s="157"/>
      <c r="B365" s="274"/>
      <c r="C365" s="117"/>
      <c r="D365" s="117"/>
      <c r="E365" s="117"/>
      <c r="F365" s="117"/>
      <c r="G365" s="117"/>
      <c r="H365" s="160"/>
      <c r="I365" s="117"/>
      <c r="J365" s="117"/>
      <c r="K365" s="117"/>
      <c r="L365" s="117"/>
      <c r="M365" s="117"/>
      <c r="N365" s="117"/>
      <c r="O365" s="117"/>
      <c r="P365" s="117"/>
      <c r="Q365" s="117"/>
      <c r="R365" s="117"/>
      <c r="S365" s="117"/>
      <c r="T365" s="117"/>
      <c r="U365" s="117"/>
      <c r="V365" s="117"/>
      <c r="W365" s="117"/>
      <c r="X365" s="117"/>
      <c r="Y365" s="117"/>
      <c r="Z365" s="117"/>
      <c r="AA365" s="117"/>
      <c r="AB365" s="117"/>
      <c r="AC365" s="117"/>
      <c r="AD365" s="117"/>
      <c r="AE365" s="117"/>
      <c r="AF365" s="117"/>
      <c r="AG365" s="117"/>
      <c r="AH365" s="117"/>
    </row>
    <row r="366" spans="1:34" s="161" customFormat="1" x14ac:dyDescent="0.2">
      <c r="A366" s="157"/>
      <c r="B366" s="274"/>
      <c r="C366" s="117"/>
      <c r="D366" s="117"/>
      <c r="E366" s="117"/>
      <c r="F366" s="117"/>
      <c r="G366" s="117"/>
      <c r="H366" s="160"/>
      <c r="I366" s="117"/>
      <c r="J366" s="117"/>
      <c r="K366" s="117"/>
      <c r="L366" s="117"/>
      <c r="M366" s="117"/>
      <c r="N366" s="117"/>
      <c r="O366" s="117"/>
      <c r="P366" s="117"/>
      <c r="Q366" s="117"/>
      <c r="R366" s="117"/>
      <c r="S366" s="117"/>
      <c r="T366" s="117"/>
      <c r="U366" s="117"/>
      <c r="V366" s="117"/>
      <c r="W366" s="117"/>
      <c r="X366" s="117"/>
      <c r="Y366" s="117"/>
      <c r="Z366" s="117"/>
      <c r="AA366" s="117"/>
      <c r="AB366" s="117"/>
      <c r="AC366" s="117"/>
      <c r="AD366" s="117"/>
      <c r="AE366" s="117"/>
      <c r="AF366" s="117"/>
      <c r="AG366" s="117"/>
      <c r="AH366" s="117"/>
    </row>
    <row r="367" spans="1:34" s="161" customFormat="1" x14ac:dyDescent="0.2">
      <c r="A367" s="157"/>
      <c r="B367" s="274"/>
      <c r="C367" s="117"/>
      <c r="D367" s="117"/>
      <c r="E367" s="117"/>
      <c r="F367" s="117"/>
      <c r="G367" s="117"/>
      <c r="H367" s="160"/>
      <c r="I367" s="117"/>
      <c r="J367" s="117"/>
      <c r="K367" s="117"/>
      <c r="L367" s="117"/>
      <c r="M367" s="117"/>
      <c r="N367" s="117"/>
      <c r="O367" s="117"/>
      <c r="P367" s="117"/>
      <c r="Q367" s="117"/>
      <c r="R367" s="117"/>
      <c r="S367" s="117"/>
      <c r="T367" s="117"/>
      <c r="U367" s="117"/>
      <c r="V367" s="117"/>
      <c r="W367" s="117"/>
      <c r="X367" s="117"/>
      <c r="Y367" s="117"/>
      <c r="Z367" s="117"/>
      <c r="AA367" s="117"/>
      <c r="AB367" s="117"/>
      <c r="AC367" s="117"/>
      <c r="AD367" s="117"/>
      <c r="AE367" s="117"/>
      <c r="AF367" s="117"/>
      <c r="AG367" s="117"/>
      <c r="AH367" s="117"/>
    </row>
    <row r="368" spans="1:34" s="161" customFormat="1" x14ac:dyDescent="0.2">
      <c r="A368" s="157"/>
      <c r="B368" s="274"/>
      <c r="C368" s="117"/>
      <c r="D368" s="117"/>
      <c r="E368" s="117"/>
      <c r="F368" s="117"/>
      <c r="G368" s="117"/>
      <c r="H368" s="160"/>
      <c r="I368" s="117"/>
      <c r="J368" s="117"/>
      <c r="K368" s="117"/>
      <c r="L368" s="117"/>
      <c r="M368" s="117"/>
      <c r="N368" s="117"/>
      <c r="O368" s="117"/>
      <c r="P368" s="117"/>
      <c r="Q368" s="117"/>
      <c r="R368" s="117"/>
      <c r="S368" s="117"/>
      <c r="T368" s="117"/>
      <c r="U368" s="117"/>
      <c r="V368" s="117"/>
      <c r="W368" s="117"/>
      <c r="X368" s="117"/>
      <c r="Y368" s="117"/>
      <c r="Z368" s="117"/>
      <c r="AA368" s="117"/>
      <c r="AB368" s="117"/>
      <c r="AC368" s="117"/>
      <c r="AD368" s="117"/>
      <c r="AE368" s="117"/>
      <c r="AF368" s="117"/>
      <c r="AG368" s="117"/>
      <c r="AH368" s="117"/>
    </row>
    <row r="369" spans="1:34" s="161" customFormat="1" x14ac:dyDescent="0.2">
      <c r="A369" s="157"/>
      <c r="B369" s="274"/>
      <c r="C369" s="117"/>
      <c r="D369" s="117"/>
      <c r="E369" s="117"/>
      <c r="F369" s="117"/>
      <c r="G369" s="117"/>
      <c r="H369" s="160"/>
      <c r="I369" s="117"/>
      <c r="J369" s="117"/>
      <c r="K369" s="117"/>
      <c r="L369" s="117"/>
      <c r="M369" s="117"/>
      <c r="N369" s="117"/>
      <c r="O369" s="117"/>
      <c r="P369" s="117"/>
      <c r="Q369" s="117"/>
      <c r="R369" s="117"/>
      <c r="S369" s="117"/>
      <c r="T369" s="117"/>
      <c r="U369" s="117"/>
      <c r="V369" s="117"/>
      <c r="W369" s="117"/>
      <c r="X369" s="117"/>
      <c r="Y369" s="117"/>
      <c r="Z369" s="117"/>
      <c r="AA369" s="117"/>
      <c r="AB369" s="117"/>
      <c r="AC369" s="117"/>
      <c r="AD369" s="117"/>
      <c r="AE369" s="117"/>
      <c r="AF369" s="117"/>
      <c r="AG369" s="117"/>
      <c r="AH369" s="117"/>
    </row>
    <row r="370" spans="1:34" s="161" customFormat="1" ht="15" customHeight="1" x14ac:dyDescent="0.2">
      <c r="A370" s="157"/>
      <c r="B370" s="274"/>
      <c r="C370" s="117"/>
      <c r="D370" s="117"/>
      <c r="E370" s="117"/>
      <c r="F370" s="117"/>
      <c r="G370" s="117"/>
      <c r="H370" s="160"/>
      <c r="I370" s="117"/>
      <c r="J370" s="117"/>
      <c r="K370" s="117"/>
      <c r="L370" s="117"/>
      <c r="M370" s="117"/>
      <c r="N370" s="117"/>
      <c r="O370" s="117"/>
      <c r="P370" s="117"/>
      <c r="Q370" s="117"/>
      <c r="R370" s="117"/>
      <c r="S370" s="117"/>
      <c r="T370" s="117"/>
      <c r="U370" s="117"/>
      <c r="V370" s="117"/>
      <c r="W370" s="117"/>
      <c r="X370" s="117"/>
      <c r="Y370" s="117"/>
      <c r="Z370" s="117"/>
      <c r="AA370" s="117"/>
      <c r="AB370" s="117"/>
      <c r="AC370" s="117"/>
      <c r="AD370" s="117"/>
      <c r="AE370" s="117"/>
      <c r="AF370" s="117"/>
      <c r="AG370" s="117"/>
      <c r="AH370" s="117"/>
    </row>
    <row r="371" spans="1:34" s="161" customFormat="1" x14ac:dyDescent="0.2">
      <c r="A371" s="157"/>
      <c r="B371" s="274"/>
      <c r="C371" s="117"/>
      <c r="D371" s="117"/>
      <c r="E371" s="117"/>
      <c r="F371" s="117"/>
      <c r="G371" s="117"/>
      <c r="H371" s="160"/>
      <c r="I371" s="117"/>
      <c r="J371" s="117"/>
      <c r="K371" s="117"/>
      <c r="L371" s="117"/>
      <c r="M371" s="117"/>
      <c r="N371" s="117"/>
      <c r="O371" s="117"/>
      <c r="P371" s="117"/>
      <c r="Q371" s="117"/>
      <c r="R371" s="117"/>
      <c r="S371" s="117"/>
      <c r="T371" s="117"/>
      <c r="U371" s="117"/>
      <c r="V371" s="117"/>
      <c r="W371" s="117"/>
      <c r="X371" s="117"/>
      <c r="Y371" s="117"/>
      <c r="Z371" s="117"/>
      <c r="AA371" s="117"/>
      <c r="AB371" s="117"/>
      <c r="AC371" s="117"/>
      <c r="AD371" s="117"/>
      <c r="AE371" s="117"/>
      <c r="AF371" s="117"/>
      <c r="AG371" s="117"/>
      <c r="AH371" s="117"/>
    </row>
    <row r="372" spans="1:34" s="161" customFormat="1" x14ac:dyDescent="0.2">
      <c r="A372" s="157"/>
      <c r="B372" s="274"/>
      <c r="C372" s="117"/>
      <c r="D372" s="117"/>
      <c r="E372" s="117"/>
      <c r="F372" s="117"/>
      <c r="G372" s="117"/>
      <c r="H372" s="160"/>
      <c r="I372" s="117"/>
      <c r="J372" s="117"/>
      <c r="K372" s="117"/>
      <c r="L372" s="117"/>
      <c r="M372" s="117"/>
      <c r="N372" s="117"/>
      <c r="O372" s="117"/>
      <c r="P372" s="117"/>
      <c r="Q372" s="117"/>
      <c r="R372" s="117"/>
      <c r="S372" s="117"/>
      <c r="T372" s="117"/>
      <c r="U372" s="117"/>
      <c r="V372" s="117"/>
      <c r="W372" s="117"/>
      <c r="X372" s="117"/>
      <c r="Y372" s="117"/>
      <c r="Z372" s="117"/>
      <c r="AA372" s="117"/>
      <c r="AB372" s="117"/>
      <c r="AC372" s="117"/>
      <c r="AD372" s="117"/>
      <c r="AE372" s="117"/>
      <c r="AF372" s="117"/>
      <c r="AG372" s="117"/>
      <c r="AH372" s="117"/>
    </row>
    <row r="373" spans="1:34" s="161" customFormat="1" x14ac:dyDescent="0.2">
      <c r="A373" s="157"/>
      <c r="B373" s="274"/>
      <c r="C373" s="117"/>
      <c r="D373" s="117"/>
      <c r="E373" s="117"/>
      <c r="F373" s="117"/>
      <c r="G373" s="117"/>
      <c r="H373" s="160"/>
      <c r="I373" s="117"/>
      <c r="J373" s="117"/>
      <c r="K373" s="117"/>
      <c r="L373" s="117"/>
      <c r="M373" s="117"/>
      <c r="N373" s="117"/>
      <c r="O373" s="117"/>
      <c r="P373" s="117"/>
      <c r="Q373" s="117"/>
      <c r="R373" s="117"/>
      <c r="S373" s="117"/>
      <c r="T373" s="117"/>
      <c r="U373" s="117"/>
      <c r="V373" s="117"/>
      <c r="W373" s="117"/>
      <c r="X373" s="117"/>
      <c r="Y373" s="117"/>
      <c r="Z373" s="117"/>
      <c r="AA373" s="117"/>
      <c r="AB373" s="117"/>
      <c r="AC373" s="117"/>
      <c r="AD373" s="117"/>
      <c r="AE373" s="117"/>
      <c r="AF373" s="117"/>
      <c r="AG373" s="117"/>
      <c r="AH373" s="117"/>
    </row>
    <row r="374" spans="1:34" s="161" customFormat="1" x14ac:dyDescent="0.2">
      <c r="A374" s="157"/>
      <c r="B374" s="274"/>
      <c r="C374" s="117"/>
      <c r="D374" s="117"/>
      <c r="E374" s="117"/>
      <c r="F374" s="117"/>
      <c r="G374" s="117"/>
      <c r="H374" s="160"/>
      <c r="I374" s="117"/>
      <c r="J374" s="117"/>
      <c r="K374" s="117"/>
      <c r="L374" s="117"/>
      <c r="M374" s="117"/>
      <c r="N374" s="117"/>
      <c r="O374" s="117"/>
      <c r="P374" s="117"/>
      <c r="Q374" s="117"/>
      <c r="R374" s="117"/>
      <c r="S374" s="117"/>
      <c r="T374" s="117"/>
      <c r="U374" s="117"/>
      <c r="V374" s="117"/>
      <c r="W374" s="117"/>
      <c r="X374" s="117"/>
      <c r="Y374" s="117"/>
      <c r="Z374" s="117"/>
      <c r="AA374" s="117"/>
      <c r="AB374" s="117"/>
      <c r="AC374" s="117"/>
      <c r="AD374" s="117"/>
      <c r="AE374" s="117"/>
      <c r="AF374" s="117"/>
      <c r="AG374" s="117"/>
      <c r="AH374" s="117"/>
    </row>
    <row r="375" spans="1:34" s="161" customFormat="1" x14ac:dyDescent="0.2">
      <c r="A375" s="157"/>
      <c r="B375" s="274"/>
      <c r="C375" s="117"/>
      <c r="D375" s="117"/>
      <c r="E375" s="117"/>
      <c r="F375" s="117"/>
      <c r="G375" s="117"/>
      <c r="H375" s="160"/>
      <c r="I375" s="117"/>
      <c r="J375" s="117"/>
      <c r="K375" s="117"/>
      <c r="L375" s="117"/>
      <c r="M375" s="117"/>
      <c r="N375" s="117"/>
      <c r="O375" s="117"/>
      <c r="P375" s="117"/>
      <c r="Q375" s="117"/>
      <c r="R375" s="117"/>
      <c r="S375" s="117"/>
      <c r="T375" s="117"/>
      <c r="U375" s="117"/>
      <c r="V375" s="117"/>
      <c r="W375" s="117"/>
      <c r="X375" s="117"/>
      <c r="Y375" s="117"/>
      <c r="Z375" s="117"/>
      <c r="AA375" s="117"/>
      <c r="AB375" s="117"/>
      <c r="AC375" s="117"/>
      <c r="AD375" s="117"/>
      <c r="AE375" s="117"/>
      <c r="AF375" s="117"/>
      <c r="AG375" s="117"/>
      <c r="AH375" s="117"/>
    </row>
    <row r="376" spans="1:34" s="161" customFormat="1" x14ac:dyDescent="0.2">
      <c r="A376" s="157"/>
      <c r="B376" s="274"/>
      <c r="C376" s="117"/>
      <c r="D376" s="117"/>
      <c r="E376" s="117"/>
      <c r="F376" s="117"/>
      <c r="G376" s="117"/>
      <c r="H376" s="160"/>
      <c r="I376" s="117"/>
      <c r="J376" s="117"/>
      <c r="K376" s="117"/>
      <c r="L376" s="117"/>
      <c r="M376" s="117"/>
      <c r="N376" s="117"/>
      <c r="O376" s="117"/>
      <c r="P376" s="117"/>
      <c r="Q376" s="117"/>
      <c r="R376" s="117"/>
      <c r="S376" s="117"/>
      <c r="T376" s="117"/>
      <c r="U376" s="117"/>
      <c r="V376" s="117"/>
      <c r="W376" s="117"/>
      <c r="X376" s="117"/>
      <c r="Y376" s="117"/>
      <c r="Z376" s="117"/>
      <c r="AA376" s="117"/>
      <c r="AB376" s="117"/>
      <c r="AC376" s="117"/>
      <c r="AD376" s="117"/>
      <c r="AE376" s="117"/>
      <c r="AF376" s="117"/>
      <c r="AG376" s="117"/>
      <c r="AH376" s="117"/>
    </row>
    <row r="377" spans="1:34" s="161" customFormat="1" x14ac:dyDescent="0.2">
      <c r="A377" s="157"/>
      <c r="B377" s="274"/>
      <c r="C377" s="117"/>
      <c r="D377" s="117"/>
      <c r="E377" s="117"/>
      <c r="F377" s="117"/>
      <c r="G377" s="117"/>
      <c r="H377" s="160"/>
      <c r="I377" s="117"/>
      <c r="J377" s="117"/>
      <c r="K377" s="117"/>
      <c r="L377" s="117"/>
      <c r="M377" s="117"/>
      <c r="N377" s="117"/>
      <c r="O377" s="117"/>
      <c r="P377" s="117"/>
      <c r="Q377" s="117"/>
      <c r="R377" s="117"/>
      <c r="S377" s="117"/>
      <c r="T377" s="117"/>
      <c r="U377" s="117"/>
      <c r="V377" s="117"/>
      <c r="W377" s="117"/>
      <c r="X377" s="117"/>
      <c r="Y377" s="117"/>
      <c r="Z377" s="117"/>
      <c r="AA377" s="117"/>
      <c r="AB377" s="117"/>
      <c r="AC377" s="117"/>
      <c r="AD377" s="117"/>
      <c r="AE377" s="117"/>
      <c r="AF377" s="117"/>
      <c r="AG377" s="117"/>
      <c r="AH377" s="117"/>
    </row>
    <row r="378" spans="1:34" s="161" customFormat="1" x14ac:dyDescent="0.2">
      <c r="A378" s="157"/>
      <c r="B378" s="274"/>
      <c r="C378" s="117"/>
      <c r="D378" s="117"/>
      <c r="E378" s="117"/>
      <c r="F378" s="117"/>
      <c r="G378" s="117"/>
      <c r="H378" s="160"/>
      <c r="I378" s="117"/>
      <c r="J378" s="117"/>
      <c r="K378" s="117"/>
      <c r="L378" s="117"/>
      <c r="M378" s="117"/>
      <c r="N378" s="117"/>
      <c r="O378" s="117"/>
      <c r="P378" s="117"/>
      <c r="Q378" s="117"/>
      <c r="R378" s="117"/>
      <c r="S378" s="117"/>
      <c r="T378" s="117"/>
      <c r="U378" s="117"/>
      <c r="V378" s="117"/>
      <c r="W378" s="117"/>
      <c r="X378" s="117"/>
      <c r="Y378" s="117"/>
      <c r="Z378" s="117"/>
      <c r="AA378" s="117"/>
      <c r="AB378" s="117"/>
      <c r="AC378" s="117"/>
      <c r="AD378" s="117"/>
      <c r="AE378" s="117"/>
      <c r="AF378" s="117"/>
      <c r="AG378" s="117"/>
      <c r="AH378" s="117"/>
    </row>
    <row r="379" spans="1:34" s="161" customFormat="1" x14ac:dyDescent="0.2">
      <c r="A379" s="157"/>
      <c r="B379" s="274"/>
      <c r="C379" s="117"/>
      <c r="D379" s="117"/>
      <c r="E379" s="117"/>
      <c r="F379" s="117"/>
      <c r="G379" s="117"/>
      <c r="H379" s="160"/>
      <c r="I379" s="117"/>
      <c r="J379" s="117"/>
      <c r="K379" s="117"/>
      <c r="L379" s="117"/>
      <c r="M379" s="117"/>
      <c r="N379" s="117"/>
      <c r="O379" s="117"/>
      <c r="P379" s="117"/>
      <c r="Q379" s="117"/>
      <c r="R379" s="117"/>
      <c r="S379" s="117"/>
      <c r="T379" s="117"/>
      <c r="U379" s="117"/>
      <c r="V379" s="117"/>
      <c r="W379" s="117"/>
      <c r="X379" s="117"/>
      <c r="Y379" s="117"/>
      <c r="Z379" s="117"/>
      <c r="AA379" s="117"/>
      <c r="AB379" s="117"/>
      <c r="AC379" s="117"/>
      <c r="AD379" s="117"/>
      <c r="AE379" s="117"/>
      <c r="AF379" s="117"/>
      <c r="AG379" s="117"/>
      <c r="AH379" s="117"/>
    </row>
    <row r="380" spans="1:34" s="161" customFormat="1" x14ac:dyDescent="0.2">
      <c r="A380" s="157"/>
      <c r="B380" s="274"/>
      <c r="C380" s="117"/>
      <c r="D380" s="117"/>
      <c r="E380" s="117"/>
      <c r="F380" s="117"/>
      <c r="G380" s="117"/>
      <c r="H380" s="160"/>
      <c r="I380" s="117"/>
      <c r="J380" s="117"/>
      <c r="K380" s="117"/>
      <c r="L380" s="117"/>
      <c r="M380" s="117"/>
      <c r="N380" s="117"/>
      <c r="O380" s="117"/>
      <c r="P380" s="117"/>
      <c r="Q380" s="117"/>
      <c r="R380" s="117"/>
      <c r="S380" s="117"/>
      <c r="T380" s="117"/>
      <c r="U380" s="117"/>
      <c r="V380" s="117"/>
      <c r="W380" s="117"/>
      <c r="X380" s="117"/>
      <c r="Y380" s="117"/>
      <c r="Z380" s="117"/>
      <c r="AA380" s="117"/>
      <c r="AB380" s="117"/>
      <c r="AC380" s="117"/>
      <c r="AD380" s="117"/>
      <c r="AE380" s="117"/>
      <c r="AF380" s="117"/>
      <c r="AG380" s="117"/>
      <c r="AH380" s="117"/>
    </row>
    <row r="381" spans="1:34" s="161" customFormat="1" x14ac:dyDescent="0.2">
      <c r="A381" s="157"/>
      <c r="B381" s="274"/>
      <c r="C381" s="117"/>
      <c r="D381" s="117"/>
      <c r="E381" s="117"/>
      <c r="F381" s="117"/>
      <c r="G381" s="117"/>
      <c r="H381" s="160"/>
      <c r="I381" s="117"/>
      <c r="J381" s="117"/>
      <c r="K381" s="117"/>
      <c r="L381" s="117"/>
      <c r="M381" s="117"/>
      <c r="N381" s="117"/>
      <c r="O381" s="117"/>
      <c r="P381" s="117"/>
      <c r="Q381" s="117"/>
      <c r="R381" s="117"/>
      <c r="S381" s="117"/>
      <c r="T381" s="117"/>
      <c r="U381" s="117"/>
      <c r="V381" s="117"/>
      <c r="W381" s="117"/>
      <c r="X381" s="117"/>
      <c r="Y381" s="117"/>
      <c r="Z381" s="117"/>
      <c r="AA381" s="117"/>
      <c r="AB381" s="117"/>
      <c r="AC381" s="117"/>
      <c r="AD381" s="117"/>
      <c r="AE381" s="117"/>
      <c r="AF381" s="117"/>
      <c r="AG381" s="117"/>
      <c r="AH381" s="117"/>
    </row>
    <row r="382" spans="1:34" s="161" customFormat="1" x14ac:dyDescent="0.2">
      <c r="A382" s="157"/>
      <c r="B382" s="274"/>
      <c r="C382" s="117"/>
      <c r="D382" s="117"/>
      <c r="E382" s="117"/>
      <c r="F382" s="117"/>
      <c r="G382" s="117"/>
      <c r="H382" s="160"/>
      <c r="I382" s="117"/>
      <c r="J382" s="117"/>
      <c r="K382" s="117"/>
      <c r="L382" s="117"/>
      <c r="M382" s="117"/>
      <c r="N382" s="117"/>
      <c r="O382" s="117"/>
      <c r="P382" s="117"/>
      <c r="Q382" s="117"/>
      <c r="R382" s="117"/>
      <c r="S382" s="117"/>
      <c r="T382" s="117"/>
      <c r="U382" s="117"/>
      <c r="V382" s="117"/>
      <c r="W382" s="117"/>
      <c r="X382" s="117"/>
      <c r="Y382" s="117"/>
      <c r="Z382" s="117"/>
      <c r="AA382" s="117"/>
      <c r="AB382" s="117"/>
      <c r="AC382" s="117"/>
      <c r="AD382" s="117"/>
      <c r="AE382" s="117"/>
      <c r="AF382" s="117"/>
      <c r="AG382" s="117"/>
      <c r="AH382" s="117"/>
    </row>
    <row r="383" spans="1:34" s="161" customFormat="1" x14ac:dyDescent="0.2">
      <c r="A383" s="157"/>
      <c r="B383" s="274"/>
      <c r="C383" s="117"/>
      <c r="D383" s="117"/>
      <c r="E383" s="117"/>
      <c r="F383" s="117"/>
      <c r="G383" s="117"/>
      <c r="H383" s="160"/>
      <c r="I383" s="117"/>
      <c r="J383" s="117"/>
      <c r="K383" s="117"/>
      <c r="L383" s="117"/>
      <c r="M383" s="117"/>
      <c r="N383" s="117"/>
      <c r="O383" s="117"/>
      <c r="P383" s="117"/>
      <c r="Q383" s="117"/>
      <c r="R383" s="117"/>
      <c r="S383" s="117"/>
      <c r="T383" s="117"/>
      <c r="U383" s="117"/>
      <c r="V383" s="117"/>
      <c r="W383" s="117"/>
      <c r="X383" s="117"/>
      <c r="Y383" s="117"/>
      <c r="Z383" s="117"/>
      <c r="AA383" s="117"/>
      <c r="AB383" s="117"/>
      <c r="AC383" s="117"/>
      <c r="AD383" s="117"/>
      <c r="AE383" s="117"/>
      <c r="AF383" s="117"/>
      <c r="AG383" s="117"/>
      <c r="AH383" s="117"/>
    </row>
    <row r="384" spans="1:34" s="161" customFormat="1" x14ac:dyDescent="0.2">
      <c r="A384" s="157"/>
      <c r="B384" s="274"/>
      <c r="C384" s="117"/>
      <c r="D384" s="117"/>
      <c r="E384" s="117"/>
      <c r="F384" s="117"/>
      <c r="G384" s="117"/>
      <c r="H384" s="160"/>
      <c r="I384" s="117"/>
      <c r="J384" s="117"/>
      <c r="K384" s="117"/>
      <c r="L384" s="117"/>
      <c r="M384" s="117"/>
      <c r="N384" s="117"/>
      <c r="O384" s="117"/>
      <c r="P384" s="117"/>
      <c r="Q384" s="117"/>
      <c r="R384" s="117"/>
      <c r="S384" s="117"/>
      <c r="T384" s="117"/>
      <c r="U384" s="117"/>
      <c r="V384" s="117"/>
      <c r="W384" s="117"/>
      <c r="X384" s="117"/>
      <c r="Y384" s="117"/>
      <c r="Z384" s="117"/>
      <c r="AA384" s="117"/>
      <c r="AB384" s="117"/>
      <c r="AC384" s="117"/>
      <c r="AD384" s="117"/>
      <c r="AE384" s="117"/>
      <c r="AF384" s="117"/>
      <c r="AG384" s="117"/>
      <c r="AH384" s="117"/>
    </row>
    <row r="385" spans="1:34" s="161" customFormat="1" x14ac:dyDescent="0.2">
      <c r="A385" s="157"/>
      <c r="B385" s="274"/>
      <c r="C385" s="117"/>
      <c r="D385" s="117"/>
      <c r="E385" s="117"/>
      <c r="F385" s="117"/>
      <c r="G385" s="117"/>
      <c r="H385" s="160"/>
      <c r="I385" s="117"/>
      <c r="J385" s="117"/>
      <c r="K385" s="117"/>
      <c r="L385" s="117"/>
      <c r="M385" s="117"/>
      <c r="N385" s="117"/>
      <c r="O385" s="117"/>
      <c r="P385" s="117"/>
      <c r="Q385" s="117"/>
      <c r="R385" s="117"/>
      <c r="S385" s="117"/>
      <c r="T385" s="117"/>
      <c r="U385" s="117"/>
      <c r="V385" s="117"/>
      <c r="W385" s="117"/>
      <c r="X385" s="117"/>
      <c r="Y385" s="117"/>
      <c r="Z385" s="117"/>
      <c r="AA385" s="117"/>
      <c r="AB385" s="117"/>
      <c r="AC385" s="117"/>
      <c r="AD385" s="117"/>
      <c r="AE385" s="117"/>
      <c r="AF385" s="117"/>
      <c r="AG385" s="117"/>
      <c r="AH385" s="117"/>
    </row>
    <row r="386" spans="1:34" s="161" customFormat="1" x14ac:dyDescent="0.2">
      <c r="A386" s="157"/>
      <c r="B386" s="274"/>
      <c r="C386" s="117"/>
      <c r="D386" s="117"/>
      <c r="E386" s="117"/>
      <c r="F386" s="117"/>
      <c r="G386" s="117"/>
      <c r="H386" s="160"/>
      <c r="I386" s="117"/>
      <c r="J386" s="117"/>
      <c r="K386" s="117"/>
      <c r="L386" s="117"/>
      <c r="M386" s="117"/>
      <c r="N386" s="117"/>
      <c r="O386" s="117"/>
      <c r="P386" s="117"/>
      <c r="Q386" s="117"/>
      <c r="R386" s="117"/>
      <c r="S386" s="117"/>
      <c r="T386" s="117"/>
      <c r="U386" s="117"/>
      <c r="V386" s="117"/>
      <c r="W386" s="117"/>
      <c r="X386" s="117"/>
      <c r="Y386" s="117"/>
      <c r="Z386" s="117"/>
      <c r="AA386" s="117"/>
      <c r="AB386" s="117"/>
      <c r="AC386" s="117"/>
      <c r="AD386" s="117"/>
      <c r="AE386" s="117"/>
      <c r="AF386" s="117"/>
      <c r="AG386" s="117"/>
      <c r="AH386" s="117"/>
    </row>
    <row r="387" spans="1:34" s="161" customFormat="1" x14ac:dyDescent="0.2">
      <c r="A387" s="157"/>
      <c r="B387" s="274"/>
      <c r="C387" s="117"/>
      <c r="D387" s="117"/>
      <c r="E387" s="117"/>
      <c r="F387" s="117"/>
      <c r="G387" s="117"/>
      <c r="H387" s="160"/>
      <c r="I387" s="117"/>
      <c r="J387" s="117"/>
      <c r="K387" s="117"/>
      <c r="L387" s="117"/>
      <c r="M387" s="117"/>
      <c r="N387" s="117"/>
      <c r="O387" s="117"/>
      <c r="P387" s="117"/>
      <c r="Q387" s="117"/>
      <c r="R387" s="117"/>
      <c r="S387" s="117"/>
      <c r="T387" s="117"/>
      <c r="U387" s="117"/>
      <c r="V387" s="117"/>
      <c r="W387" s="117"/>
      <c r="X387" s="117"/>
      <c r="Y387" s="117"/>
      <c r="Z387" s="117"/>
      <c r="AA387" s="117"/>
      <c r="AB387" s="117"/>
      <c r="AC387" s="117"/>
      <c r="AD387" s="117"/>
      <c r="AE387" s="117"/>
      <c r="AF387" s="117"/>
      <c r="AG387" s="117"/>
      <c r="AH387" s="117"/>
    </row>
    <row r="388" spans="1:34" s="161" customFormat="1" x14ac:dyDescent="0.2">
      <c r="A388" s="157"/>
      <c r="B388" s="274"/>
      <c r="C388" s="117"/>
      <c r="D388" s="117"/>
      <c r="E388" s="117"/>
      <c r="F388" s="117"/>
      <c r="G388" s="117"/>
      <c r="H388" s="160"/>
      <c r="I388" s="117"/>
      <c r="J388" s="117"/>
      <c r="K388" s="117"/>
      <c r="L388" s="117"/>
      <c r="M388" s="117"/>
      <c r="N388" s="117"/>
      <c r="O388" s="117"/>
      <c r="P388" s="117"/>
      <c r="Q388" s="117"/>
      <c r="R388" s="117"/>
      <c r="S388" s="117"/>
      <c r="T388" s="117"/>
      <c r="U388" s="117"/>
      <c r="V388" s="117"/>
      <c r="W388" s="117"/>
      <c r="X388" s="117"/>
      <c r="Y388" s="117"/>
      <c r="Z388" s="117"/>
      <c r="AA388" s="117"/>
      <c r="AB388" s="117"/>
      <c r="AC388" s="117"/>
      <c r="AD388" s="117"/>
      <c r="AE388" s="117"/>
      <c r="AF388" s="117"/>
      <c r="AG388" s="117"/>
      <c r="AH388" s="117"/>
    </row>
    <row r="389" spans="1:34" s="161" customFormat="1" x14ac:dyDescent="0.2">
      <c r="A389" s="157"/>
      <c r="B389" s="274"/>
      <c r="C389" s="117"/>
      <c r="D389" s="117"/>
      <c r="E389" s="117"/>
      <c r="F389" s="117"/>
      <c r="G389" s="117"/>
      <c r="H389" s="160"/>
      <c r="I389" s="117"/>
      <c r="J389" s="117"/>
      <c r="K389" s="117"/>
      <c r="L389" s="117"/>
      <c r="M389" s="117"/>
      <c r="N389" s="117"/>
      <c r="O389" s="117"/>
      <c r="P389" s="117"/>
      <c r="Q389" s="117"/>
      <c r="R389" s="117"/>
      <c r="S389" s="117"/>
      <c r="T389" s="117"/>
      <c r="U389" s="117"/>
      <c r="V389" s="117"/>
      <c r="W389" s="117"/>
      <c r="X389" s="117"/>
      <c r="Y389" s="117"/>
      <c r="Z389" s="117"/>
      <c r="AA389" s="117"/>
      <c r="AB389" s="117"/>
      <c r="AC389" s="117"/>
      <c r="AD389" s="117"/>
      <c r="AE389" s="117"/>
      <c r="AF389" s="117"/>
      <c r="AG389" s="117"/>
      <c r="AH389" s="117"/>
    </row>
    <row r="390" spans="1:34" s="161" customFormat="1" x14ac:dyDescent="0.2">
      <c r="A390" s="157"/>
      <c r="B390" s="274"/>
      <c r="C390" s="117"/>
      <c r="D390" s="117"/>
      <c r="E390" s="117"/>
      <c r="F390" s="117"/>
      <c r="G390" s="117"/>
      <c r="H390" s="160"/>
      <c r="I390" s="117"/>
      <c r="J390" s="117"/>
      <c r="K390" s="117"/>
      <c r="L390" s="117"/>
      <c r="M390" s="117"/>
      <c r="N390" s="117"/>
      <c r="O390" s="117"/>
      <c r="P390" s="117"/>
      <c r="Q390" s="117"/>
      <c r="R390" s="117"/>
      <c r="S390" s="117"/>
      <c r="T390" s="117"/>
      <c r="U390" s="117"/>
      <c r="V390" s="117"/>
      <c r="W390" s="117"/>
      <c r="X390" s="117"/>
      <c r="Y390" s="117"/>
      <c r="Z390" s="117"/>
      <c r="AA390" s="117"/>
      <c r="AB390" s="117"/>
      <c r="AC390" s="117"/>
      <c r="AD390" s="117"/>
      <c r="AE390" s="117"/>
      <c r="AF390" s="117"/>
      <c r="AG390" s="117"/>
      <c r="AH390" s="117"/>
    </row>
    <row r="391" spans="1:34" s="161" customFormat="1" x14ac:dyDescent="0.2">
      <c r="A391" s="157"/>
      <c r="B391" s="274"/>
      <c r="C391" s="117"/>
      <c r="D391" s="117"/>
      <c r="E391" s="117"/>
      <c r="F391" s="117"/>
      <c r="G391" s="117"/>
      <c r="H391" s="160"/>
      <c r="I391" s="117"/>
      <c r="J391" s="117"/>
      <c r="K391" s="117"/>
      <c r="L391" s="117"/>
      <c r="M391" s="117"/>
      <c r="N391" s="117"/>
      <c r="O391" s="117"/>
      <c r="P391" s="117"/>
      <c r="Q391" s="117"/>
      <c r="R391" s="117"/>
      <c r="S391" s="117"/>
      <c r="T391" s="117"/>
      <c r="U391" s="117"/>
      <c r="V391" s="117"/>
      <c r="W391" s="117"/>
      <c r="X391" s="117"/>
      <c r="Y391" s="117"/>
      <c r="Z391" s="117"/>
      <c r="AA391" s="117"/>
      <c r="AB391" s="117"/>
      <c r="AC391" s="117"/>
      <c r="AD391" s="117"/>
      <c r="AE391" s="117"/>
      <c r="AF391" s="117"/>
      <c r="AG391" s="117"/>
      <c r="AH391" s="117"/>
    </row>
    <row r="392" spans="1:34" s="161" customFormat="1" x14ac:dyDescent="0.2">
      <c r="A392" s="157"/>
      <c r="B392" s="274"/>
      <c r="C392" s="117"/>
      <c r="D392" s="117"/>
      <c r="E392" s="117"/>
      <c r="F392" s="117"/>
      <c r="G392" s="117"/>
      <c r="H392" s="160"/>
      <c r="I392" s="117"/>
      <c r="J392" s="117"/>
      <c r="K392" s="117"/>
      <c r="L392" s="117"/>
      <c r="M392" s="117"/>
      <c r="N392" s="117"/>
      <c r="O392" s="117"/>
      <c r="P392" s="117"/>
      <c r="Q392" s="117"/>
      <c r="R392" s="117"/>
      <c r="S392" s="117"/>
      <c r="T392" s="117"/>
      <c r="U392" s="117"/>
      <c r="V392" s="117"/>
      <c r="W392" s="117"/>
      <c r="X392" s="117"/>
      <c r="Y392" s="117"/>
      <c r="Z392" s="117"/>
      <c r="AA392" s="117"/>
      <c r="AB392" s="117"/>
      <c r="AC392" s="117"/>
      <c r="AD392" s="117"/>
      <c r="AE392" s="117"/>
      <c r="AF392" s="117"/>
      <c r="AG392" s="117"/>
      <c r="AH392" s="117"/>
    </row>
    <row r="393" spans="1:34" s="161" customFormat="1" x14ac:dyDescent="0.2">
      <c r="A393" s="157"/>
      <c r="B393" s="274"/>
      <c r="C393" s="117"/>
      <c r="D393" s="117"/>
      <c r="E393" s="117"/>
      <c r="F393" s="117"/>
      <c r="G393" s="117"/>
      <c r="H393" s="160"/>
      <c r="I393" s="117"/>
      <c r="J393" s="117"/>
      <c r="K393" s="117"/>
      <c r="L393" s="117"/>
      <c r="M393" s="117"/>
      <c r="N393" s="117"/>
      <c r="O393" s="117"/>
      <c r="P393" s="117"/>
      <c r="Q393" s="117"/>
      <c r="R393" s="117"/>
      <c r="S393" s="117"/>
      <c r="T393" s="117"/>
      <c r="U393" s="117"/>
      <c r="V393" s="117"/>
      <c r="W393" s="117"/>
      <c r="X393" s="117"/>
      <c r="Y393" s="117"/>
      <c r="Z393" s="117"/>
      <c r="AA393" s="117"/>
      <c r="AB393" s="117"/>
      <c r="AC393" s="117"/>
      <c r="AD393" s="117"/>
      <c r="AE393" s="117"/>
      <c r="AF393" s="117"/>
      <c r="AG393" s="117"/>
      <c r="AH393" s="117"/>
    </row>
    <row r="394" spans="1:34" s="161" customFormat="1" x14ac:dyDescent="0.2">
      <c r="A394" s="157"/>
      <c r="B394" s="274"/>
      <c r="C394" s="117"/>
      <c r="D394" s="117"/>
      <c r="E394" s="117"/>
      <c r="F394" s="117"/>
      <c r="G394" s="117"/>
      <c r="H394" s="160"/>
      <c r="I394" s="117"/>
      <c r="J394" s="117"/>
      <c r="K394" s="117"/>
      <c r="L394" s="117"/>
      <c r="M394" s="117"/>
      <c r="N394" s="117"/>
      <c r="O394" s="117"/>
      <c r="P394" s="117"/>
      <c r="Q394" s="117"/>
      <c r="R394" s="117"/>
      <c r="S394" s="117"/>
      <c r="T394" s="117"/>
      <c r="U394" s="117"/>
      <c r="V394" s="117"/>
      <c r="W394" s="117"/>
      <c r="X394" s="117"/>
      <c r="Y394" s="117"/>
      <c r="Z394" s="117"/>
      <c r="AA394" s="117"/>
      <c r="AB394" s="117"/>
      <c r="AC394" s="117"/>
      <c r="AD394" s="117"/>
      <c r="AE394" s="117"/>
      <c r="AF394" s="117"/>
      <c r="AG394" s="117"/>
      <c r="AH394" s="117"/>
    </row>
    <row r="395" spans="1:34" s="161" customFormat="1" x14ac:dyDescent="0.2">
      <c r="A395" s="157"/>
      <c r="B395" s="274"/>
      <c r="C395" s="117"/>
      <c r="D395" s="117"/>
      <c r="E395" s="117"/>
      <c r="F395" s="117"/>
      <c r="G395" s="117"/>
      <c r="H395" s="160"/>
      <c r="I395" s="117"/>
      <c r="J395" s="117"/>
      <c r="K395" s="117"/>
      <c r="L395" s="117"/>
      <c r="M395" s="117"/>
      <c r="N395" s="117"/>
      <c r="O395" s="117"/>
      <c r="P395" s="117"/>
      <c r="Q395" s="117"/>
      <c r="R395" s="117"/>
      <c r="S395" s="117"/>
      <c r="T395" s="117"/>
      <c r="U395" s="117"/>
      <c r="V395" s="117"/>
      <c r="W395" s="117"/>
      <c r="X395" s="117"/>
      <c r="Y395" s="117"/>
      <c r="Z395" s="117"/>
      <c r="AA395" s="117"/>
      <c r="AB395" s="117"/>
      <c r="AC395" s="117"/>
      <c r="AD395" s="117"/>
      <c r="AE395" s="117"/>
      <c r="AF395" s="117"/>
      <c r="AG395" s="117"/>
      <c r="AH395" s="117"/>
    </row>
    <row r="396" spans="1:34" s="161" customFormat="1" x14ac:dyDescent="0.2">
      <c r="A396" s="157"/>
      <c r="B396" s="274"/>
      <c r="C396" s="117"/>
      <c r="D396" s="117"/>
      <c r="E396" s="117"/>
      <c r="F396" s="117"/>
      <c r="G396" s="117"/>
      <c r="H396" s="160"/>
      <c r="I396" s="117"/>
      <c r="J396" s="117"/>
      <c r="K396" s="117"/>
      <c r="L396" s="117"/>
      <c r="M396" s="117"/>
      <c r="N396" s="117"/>
      <c r="O396" s="117"/>
      <c r="P396" s="117"/>
      <c r="Q396" s="117"/>
      <c r="R396" s="117"/>
      <c r="S396" s="117"/>
      <c r="T396" s="117"/>
      <c r="U396" s="117"/>
      <c r="V396" s="117"/>
      <c r="W396" s="117"/>
      <c r="X396" s="117"/>
      <c r="Y396" s="117"/>
      <c r="Z396" s="117"/>
      <c r="AA396" s="117"/>
      <c r="AB396" s="117"/>
      <c r="AC396" s="117"/>
      <c r="AD396" s="117"/>
      <c r="AE396" s="117"/>
      <c r="AF396" s="117"/>
      <c r="AG396" s="117"/>
      <c r="AH396" s="117"/>
    </row>
    <row r="397" spans="1:34" s="161" customFormat="1" x14ac:dyDescent="0.2">
      <c r="A397" s="157"/>
      <c r="B397" s="274"/>
      <c r="C397" s="117"/>
      <c r="D397" s="117"/>
      <c r="E397" s="117"/>
      <c r="F397" s="117"/>
      <c r="G397" s="117"/>
      <c r="H397" s="160"/>
      <c r="I397" s="117"/>
      <c r="J397" s="117"/>
      <c r="K397" s="117"/>
      <c r="L397" s="117"/>
      <c r="M397" s="117"/>
      <c r="N397" s="117"/>
      <c r="O397" s="117"/>
      <c r="P397" s="117"/>
      <c r="Q397" s="117"/>
      <c r="R397" s="117"/>
      <c r="S397" s="117"/>
      <c r="T397" s="117"/>
      <c r="U397" s="117"/>
      <c r="V397" s="117"/>
      <c r="W397" s="117"/>
      <c r="X397" s="117"/>
      <c r="Y397" s="117"/>
      <c r="Z397" s="117"/>
      <c r="AA397" s="117"/>
      <c r="AB397" s="117"/>
      <c r="AC397" s="117"/>
      <c r="AD397" s="117"/>
      <c r="AE397" s="117"/>
      <c r="AF397" s="117"/>
      <c r="AG397" s="117"/>
      <c r="AH397" s="117"/>
    </row>
    <row r="398" spans="1:34" s="161" customFormat="1" x14ac:dyDescent="0.2">
      <c r="A398" s="157"/>
      <c r="B398" s="274"/>
      <c r="C398" s="117"/>
      <c r="D398" s="117"/>
      <c r="E398" s="117"/>
      <c r="F398" s="117"/>
      <c r="G398" s="117"/>
      <c r="H398" s="160"/>
      <c r="I398" s="117"/>
      <c r="J398" s="117"/>
      <c r="K398" s="117"/>
      <c r="L398" s="117"/>
      <c r="M398" s="117"/>
      <c r="N398" s="117"/>
      <c r="O398" s="117"/>
      <c r="P398" s="117"/>
      <c r="Q398" s="117"/>
      <c r="R398" s="117"/>
      <c r="S398" s="117"/>
      <c r="T398" s="117"/>
      <c r="U398" s="117"/>
      <c r="V398" s="117"/>
      <c r="W398" s="117"/>
      <c r="X398" s="117"/>
      <c r="Y398" s="117"/>
      <c r="Z398" s="117"/>
      <c r="AA398" s="117"/>
      <c r="AB398" s="117"/>
      <c r="AC398" s="117"/>
      <c r="AD398" s="117"/>
      <c r="AE398" s="117"/>
      <c r="AF398" s="117"/>
      <c r="AG398" s="117"/>
      <c r="AH398" s="117"/>
    </row>
    <row r="399" spans="1:34" s="161" customFormat="1" x14ac:dyDescent="0.2">
      <c r="A399" s="157"/>
      <c r="B399" s="274"/>
      <c r="C399" s="117"/>
      <c r="D399" s="117"/>
      <c r="E399" s="117"/>
      <c r="F399" s="117"/>
      <c r="G399" s="117"/>
      <c r="H399" s="160"/>
      <c r="I399" s="117"/>
      <c r="J399" s="117"/>
      <c r="K399" s="117"/>
      <c r="L399" s="117"/>
      <c r="M399" s="117"/>
      <c r="N399" s="117"/>
      <c r="O399" s="117"/>
      <c r="P399" s="117"/>
      <c r="Q399" s="117"/>
      <c r="R399" s="117"/>
      <c r="S399" s="117"/>
      <c r="T399" s="117"/>
      <c r="U399" s="117"/>
      <c r="V399" s="117"/>
      <c r="W399" s="117"/>
      <c r="X399" s="117"/>
      <c r="Y399" s="117"/>
      <c r="Z399" s="117"/>
      <c r="AA399" s="117"/>
      <c r="AB399" s="117"/>
      <c r="AC399" s="117"/>
      <c r="AD399" s="117"/>
      <c r="AE399" s="117"/>
      <c r="AF399" s="117"/>
      <c r="AG399" s="117"/>
      <c r="AH399" s="117"/>
    </row>
    <row r="400" spans="1:34" s="161" customFormat="1" x14ac:dyDescent="0.2">
      <c r="A400" s="157"/>
      <c r="B400" s="274"/>
      <c r="C400" s="117"/>
      <c r="D400" s="117"/>
      <c r="E400" s="117"/>
      <c r="F400" s="117"/>
      <c r="G400" s="117"/>
      <c r="H400" s="160"/>
      <c r="I400" s="117"/>
      <c r="J400" s="117"/>
      <c r="K400" s="117"/>
      <c r="L400" s="117"/>
      <c r="M400" s="117"/>
      <c r="N400" s="117"/>
      <c r="O400" s="117"/>
      <c r="P400" s="117"/>
      <c r="Q400" s="117"/>
      <c r="R400" s="117"/>
      <c r="S400" s="117"/>
      <c r="T400" s="117"/>
      <c r="U400" s="117"/>
      <c r="V400" s="117"/>
      <c r="W400" s="117"/>
      <c r="X400" s="117"/>
      <c r="Y400" s="117"/>
      <c r="Z400" s="117"/>
      <c r="AA400" s="117"/>
      <c r="AB400" s="117"/>
      <c r="AC400" s="117"/>
      <c r="AD400" s="117"/>
      <c r="AE400" s="117"/>
      <c r="AF400" s="117"/>
      <c r="AG400" s="117"/>
      <c r="AH400" s="117"/>
    </row>
    <row r="401" spans="1:34" s="161" customFormat="1" x14ac:dyDescent="0.2">
      <c r="A401" s="157"/>
      <c r="B401" s="274"/>
      <c r="C401" s="117"/>
      <c r="D401" s="117"/>
      <c r="E401" s="117"/>
      <c r="F401" s="117"/>
      <c r="G401" s="117"/>
      <c r="H401" s="160"/>
      <c r="I401" s="117"/>
      <c r="J401" s="117"/>
      <c r="K401" s="117"/>
      <c r="L401" s="117"/>
      <c r="M401" s="117"/>
      <c r="N401" s="117"/>
      <c r="O401" s="117"/>
      <c r="P401" s="117"/>
      <c r="Q401" s="117"/>
      <c r="R401" s="117"/>
      <c r="S401" s="117"/>
      <c r="T401" s="117"/>
      <c r="U401" s="117"/>
      <c r="V401" s="117"/>
      <c r="W401" s="117"/>
      <c r="X401" s="117"/>
      <c r="Y401" s="117"/>
      <c r="Z401" s="117"/>
      <c r="AA401" s="117"/>
      <c r="AB401" s="117"/>
      <c r="AC401" s="117"/>
      <c r="AD401" s="117"/>
      <c r="AE401" s="117"/>
      <c r="AF401" s="117"/>
      <c r="AG401" s="117"/>
      <c r="AH401" s="117"/>
    </row>
    <row r="402" spans="1:34" s="161" customFormat="1" x14ac:dyDescent="0.2">
      <c r="A402" s="157"/>
      <c r="B402" s="274"/>
      <c r="C402" s="117"/>
      <c r="D402" s="117"/>
      <c r="E402" s="117"/>
      <c r="F402" s="117"/>
      <c r="G402" s="117"/>
      <c r="H402" s="160"/>
      <c r="I402" s="117"/>
      <c r="J402" s="117"/>
      <c r="K402" s="117"/>
      <c r="L402" s="117"/>
      <c r="M402" s="117"/>
      <c r="N402" s="117"/>
      <c r="O402" s="117"/>
      <c r="P402" s="117"/>
      <c r="Q402" s="117"/>
      <c r="R402" s="117"/>
      <c r="S402" s="117"/>
      <c r="T402" s="117"/>
      <c r="U402" s="117"/>
      <c r="V402" s="117"/>
      <c r="W402" s="117"/>
      <c r="X402" s="117"/>
      <c r="Y402" s="117"/>
      <c r="Z402" s="117"/>
      <c r="AA402" s="117"/>
      <c r="AB402" s="117"/>
      <c r="AC402" s="117"/>
      <c r="AD402" s="117"/>
      <c r="AE402" s="117"/>
      <c r="AF402" s="117"/>
      <c r="AG402" s="117"/>
      <c r="AH402" s="117"/>
    </row>
    <row r="403" spans="1:34" s="161" customFormat="1" x14ac:dyDescent="0.2">
      <c r="A403" s="157"/>
      <c r="B403" s="274"/>
      <c r="C403" s="117"/>
      <c r="D403" s="117"/>
      <c r="E403" s="117"/>
      <c r="F403" s="117"/>
      <c r="G403" s="117"/>
      <c r="H403" s="160"/>
      <c r="I403" s="117"/>
      <c r="J403" s="117"/>
      <c r="K403" s="117"/>
      <c r="L403" s="117"/>
      <c r="M403" s="117"/>
      <c r="N403" s="117"/>
      <c r="O403" s="117"/>
      <c r="P403" s="117"/>
      <c r="Q403" s="117"/>
      <c r="R403" s="117"/>
      <c r="S403" s="117"/>
      <c r="T403" s="117"/>
      <c r="U403" s="117"/>
      <c r="V403" s="117"/>
      <c r="W403" s="117"/>
      <c r="X403" s="117"/>
      <c r="Y403" s="117"/>
      <c r="Z403" s="117"/>
      <c r="AA403" s="117"/>
      <c r="AB403" s="117"/>
      <c r="AC403" s="117"/>
      <c r="AD403" s="117"/>
      <c r="AE403" s="117"/>
      <c r="AF403" s="117"/>
      <c r="AG403" s="117"/>
      <c r="AH403" s="117"/>
    </row>
    <row r="404" spans="1:34" s="161" customFormat="1" x14ac:dyDescent="0.2">
      <c r="A404" s="157"/>
      <c r="B404" s="274"/>
      <c r="C404" s="117"/>
      <c r="D404" s="117"/>
      <c r="E404" s="117"/>
      <c r="F404" s="117"/>
      <c r="G404" s="117"/>
      <c r="H404" s="160"/>
      <c r="I404" s="117"/>
      <c r="J404" s="117"/>
      <c r="K404" s="117"/>
      <c r="L404" s="117"/>
      <c r="M404" s="117"/>
      <c r="N404" s="117"/>
      <c r="O404" s="117"/>
      <c r="P404" s="117"/>
      <c r="Q404" s="117"/>
      <c r="R404" s="117"/>
      <c r="S404" s="117"/>
      <c r="T404" s="117"/>
      <c r="U404" s="117"/>
      <c r="V404" s="117"/>
      <c r="W404" s="117"/>
      <c r="X404" s="117"/>
      <c r="Y404" s="117"/>
      <c r="Z404" s="117"/>
      <c r="AA404" s="117"/>
      <c r="AB404" s="117"/>
      <c r="AC404" s="117"/>
      <c r="AD404" s="117"/>
      <c r="AE404" s="117"/>
      <c r="AF404" s="117"/>
      <c r="AG404" s="117"/>
      <c r="AH404" s="117"/>
    </row>
    <row r="405" spans="1:34" s="161" customFormat="1" x14ac:dyDescent="0.2">
      <c r="A405" s="157"/>
      <c r="B405" s="274"/>
      <c r="C405" s="117"/>
      <c r="D405" s="117"/>
      <c r="E405" s="117"/>
      <c r="F405" s="117"/>
      <c r="G405" s="117"/>
      <c r="H405" s="160"/>
      <c r="I405" s="117"/>
      <c r="J405" s="117"/>
      <c r="K405" s="117"/>
      <c r="L405" s="117"/>
      <c r="M405" s="117"/>
      <c r="N405" s="117"/>
      <c r="O405" s="117"/>
      <c r="P405" s="117"/>
      <c r="Q405" s="117"/>
      <c r="R405" s="117"/>
      <c r="S405" s="117"/>
      <c r="T405" s="117"/>
      <c r="U405" s="117"/>
      <c r="V405" s="117"/>
      <c r="W405" s="117"/>
      <c r="X405" s="117"/>
      <c r="Y405" s="117"/>
      <c r="Z405" s="117"/>
      <c r="AA405" s="117"/>
      <c r="AB405" s="117"/>
      <c r="AC405" s="117"/>
      <c r="AD405" s="117"/>
      <c r="AE405" s="117"/>
      <c r="AF405" s="117"/>
      <c r="AG405" s="117"/>
      <c r="AH405" s="117"/>
    </row>
    <row r="406" spans="1:34" s="161" customFormat="1" x14ac:dyDescent="0.2">
      <c r="A406" s="157"/>
      <c r="B406" s="274"/>
      <c r="C406" s="117"/>
      <c r="D406" s="117"/>
      <c r="E406" s="117"/>
      <c r="F406" s="117"/>
      <c r="G406" s="117"/>
      <c r="H406" s="160"/>
      <c r="I406" s="117"/>
      <c r="J406" s="117"/>
      <c r="K406" s="117"/>
      <c r="L406" s="117"/>
      <c r="M406" s="117"/>
      <c r="N406" s="117"/>
      <c r="O406" s="117"/>
      <c r="P406" s="117"/>
      <c r="Q406" s="117"/>
      <c r="R406" s="117"/>
      <c r="S406" s="117"/>
      <c r="T406" s="117"/>
      <c r="U406" s="117"/>
      <c r="V406" s="117"/>
      <c r="W406" s="117"/>
      <c r="X406" s="117"/>
      <c r="Y406" s="117"/>
      <c r="Z406" s="117"/>
      <c r="AA406" s="117"/>
      <c r="AB406" s="117"/>
      <c r="AC406" s="117"/>
      <c r="AD406" s="117"/>
      <c r="AE406" s="117"/>
      <c r="AF406" s="117"/>
      <c r="AG406" s="117"/>
      <c r="AH406" s="117"/>
    </row>
    <row r="407" spans="1:34" s="161" customFormat="1" x14ac:dyDescent="0.2">
      <c r="A407" s="157"/>
      <c r="B407" s="274"/>
      <c r="C407" s="117"/>
      <c r="D407" s="117"/>
      <c r="E407" s="117"/>
      <c r="F407" s="117"/>
      <c r="G407" s="117"/>
      <c r="H407" s="160"/>
      <c r="I407" s="117"/>
      <c r="J407" s="117"/>
      <c r="K407" s="117"/>
      <c r="L407" s="117"/>
      <c r="M407" s="117"/>
      <c r="N407" s="117"/>
      <c r="O407" s="117"/>
      <c r="P407" s="117"/>
      <c r="Q407" s="117"/>
      <c r="R407" s="117"/>
      <c r="S407" s="117"/>
      <c r="T407" s="117"/>
      <c r="U407" s="117"/>
      <c r="V407" s="117"/>
      <c r="W407" s="117"/>
      <c r="X407" s="117"/>
      <c r="Y407" s="117"/>
      <c r="Z407" s="117"/>
      <c r="AA407" s="117"/>
      <c r="AB407" s="117"/>
      <c r="AC407" s="117"/>
      <c r="AD407" s="117"/>
      <c r="AE407" s="117"/>
      <c r="AF407" s="117"/>
      <c r="AG407" s="117"/>
      <c r="AH407" s="117"/>
    </row>
    <row r="408" spans="1:34" s="161" customFormat="1" x14ac:dyDescent="0.2">
      <c r="A408" s="157"/>
      <c r="B408" s="274"/>
      <c r="C408" s="117"/>
      <c r="D408" s="117"/>
      <c r="E408" s="117"/>
      <c r="F408" s="117"/>
      <c r="G408" s="117"/>
      <c r="H408" s="160"/>
      <c r="I408" s="117"/>
      <c r="J408" s="117"/>
      <c r="K408" s="117"/>
      <c r="L408" s="117"/>
      <c r="M408" s="117"/>
      <c r="N408" s="117"/>
      <c r="O408" s="117"/>
      <c r="P408" s="117"/>
      <c r="Q408" s="117"/>
      <c r="R408" s="117"/>
      <c r="S408" s="117"/>
      <c r="T408" s="117"/>
      <c r="U408" s="117"/>
      <c r="V408" s="117"/>
      <c r="W408" s="117"/>
      <c r="X408" s="117"/>
      <c r="Y408" s="117"/>
      <c r="Z408" s="117"/>
      <c r="AA408" s="117"/>
      <c r="AB408" s="117"/>
      <c r="AC408" s="117"/>
      <c r="AD408" s="117"/>
      <c r="AE408" s="117"/>
      <c r="AF408" s="117"/>
      <c r="AG408" s="117"/>
      <c r="AH408" s="117"/>
    </row>
    <row r="409" spans="1:34" s="161" customFormat="1" x14ac:dyDescent="0.2">
      <c r="A409" s="157"/>
      <c r="B409" s="274"/>
      <c r="C409" s="117"/>
      <c r="D409" s="117"/>
      <c r="E409" s="117"/>
      <c r="F409" s="117"/>
      <c r="G409" s="117"/>
      <c r="H409" s="160"/>
      <c r="I409" s="117"/>
      <c r="J409" s="117"/>
      <c r="K409" s="117"/>
      <c r="L409" s="117"/>
      <c r="M409" s="117"/>
      <c r="N409" s="117"/>
      <c r="O409" s="117"/>
      <c r="P409" s="117"/>
      <c r="Q409" s="117"/>
      <c r="R409" s="117"/>
      <c r="S409" s="117"/>
      <c r="T409" s="117"/>
      <c r="U409" s="117"/>
      <c r="V409" s="117"/>
      <c r="W409" s="117"/>
      <c r="X409" s="117"/>
      <c r="Y409" s="117"/>
      <c r="Z409" s="117"/>
      <c r="AA409" s="117"/>
      <c r="AB409" s="117"/>
      <c r="AC409" s="117"/>
      <c r="AD409" s="117"/>
      <c r="AE409" s="117"/>
      <c r="AF409" s="117"/>
      <c r="AG409" s="117"/>
      <c r="AH409" s="117"/>
    </row>
    <row r="410" spans="1:34" s="161" customFormat="1" x14ac:dyDescent="0.2">
      <c r="A410" s="157"/>
      <c r="B410" s="274"/>
      <c r="C410" s="117"/>
      <c r="D410" s="117"/>
      <c r="E410" s="117"/>
      <c r="F410" s="117"/>
      <c r="G410" s="117"/>
      <c r="H410" s="160"/>
      <c r="I410" s="117"/>
      <c r="J410" s="117"/>
      <c r="K410" s="117"/>
      <c r="L410" s="117"/>
      <c r="M410" s="117"/>
      <c r="N410" s="117"/>
      <c r="O410" s="117"/>
      <c r="P410" s="117"/>
      <c r="Q410" s="117"/>
      <c r="R410" s="117"/>
      <c r="S410" s="117"/>
      <c r="T410" s="117"/>
      <c r="U410" s="117"/>
      <c r="V410" s="117"/>
      <c r="W410" s="117"/>
      <c r="X410" s="117"/>
      <c r="Y410" s="117"/>
      <c r="Z410" s="117"/>
      <c r="AA410" s="117"/>
      <c r="AB410" s="117"/>
      <c r="AC410" s="117"/>
      <c r="AD410" s="117"/>
      <c r="AE410" s="117"/>
      <c r="AF410" s="117"/>
      <c r="AG410" s="117"/>
      <c r="AH410" s="117"/>
    </row>
    <row r="411" spans="1:34" s="161" customFormat="1" x14ac:dyDescent="0.2">
      <c r="A411" s="157"/>
      <c r="B411" s="274"/>
      <c r="C411" s="117"/>
      <c r="D411" s="117"/>
      <c r="E411" s="117"/>
      <c r="F411" s="117"/>
      <c r="G411" s="117"/>
      <c r="H411" s="160"/>
      <c r="I411" s="117"/>
      <c r="J411" s="117"/>
      <c r="K411" s="117"/>
      <c r="L411" s="117"/>
      <c r="M411" s="117"/>
      <c r="N411" s="117"/>
      <c r="O411" s="117"/>
      <c r="P411" s="117"/>
      <c r="Q411" s="117"/>
      <c r="R411" s="117"/>
      <c r="S411" s="117"/>
      <c r="T411" s="117"/>
      <c r="U411" s="117"/>
      <c r="V411" s="117"/>
      <c r="W411" s="117"/>
      <c r="X411" s="117"/>
      <c r="Y411" s="117"/>
      <c r="Z411" s="117"/>
      <c r="AA411" s="117"/>
      <c r="AB411" s="117"/>
      <c r="AC411" s="117"/>
      <c r="AD411" s="117"/>
      <c r="AE411" s="117"/>
      <c r="AF411" s="117"/>
      <c r="AG411" s="117"/>
      <c r="AH411" s="117"/>
    </row>
    <row r="412" spans="1:34" s="161" customFormat="1" x14ac:dyDescent="0.2">
      <c r="A412" s="157"/>
      <c r="B412" s="274"/>
      <c r="C412" s="117"/>
      <c r="D412" s="117"/>
      <c r="E412" s="117"/>
      <c r="F412" s="117"/>
      <c r="G412" s="117"/>
      <c r="H412" s="160"/>
      <c r="I412" s="117"/>
      <c r="J412" s="117"/>
      <c r="K412" s="117"/>
      <c r="L412" s="117"/>
      <c r="M412" s="117"/>
      <c r="N412" s="117"/>
      <c r="O412" s="117"/>
      <c r="P412" s="117"/>
      <c r="Q412" s="117"/>
      <c r="R412" s="117"/>
      <c r="S412" s="117"/>
      <c r="T412" s="117"/>
      <c r="U412" s="117"/>
      <c r="V412" s="117"/>
      <c r="W412" s="117"/>
      <c r="X412" s="117"/>
      <c r="Y412" s="117"/>
      <c r="Z412" s="117"/>
      <c r="AA412" s="117"/>
      <c r="AB412" s="117"/>
      <c r="AC412" s="117"/>
      <c r="AD412" s="117"/>
      <c r="AE412" s="117"/>
      <c r="AF412" s="117"/>
      <c r="AG412" s="117"/>
      <c r="AH412" s="117"/>
    </row>
    <row r="413" spans="1:34" s="161" customFormat="1" x14ac:dyDescent="0.2">
      <c r="A413" s="157"/>
      <c r="B413" s="274"/>
      <c r="C413" s="117"/>
      <c r="D413" s="117"/>
      <c r="E413" s="117"/>
      <c r="F413" s="117"/>
      <c r="G413" s="117"/>
      <c r="H413" s="160"/>
      <c r="I413" s="117"/>
      <c r="J413" s="117"/>
      <c r="K413" s="117"/>
      <c r="L413" s="117"/>
      <c r="M413" s="117"/>
      <c r="N413" s="117"/>
      <c r="O413" s="117"/>
      <c r="P413" s="117"/>
      <c r="Q413" s="117"/>
      <c r="R413" s="117"/>
      <c r="S413" s="117"/>
      <c r="T413" s="117"/>
      <c r="U413" s="117"/>
      <c r="V413" s="117"/>
      <c r="W413" s="117"/>
      <c r="X413" s="117"/>
      <c r="Y413" s="117"/>
      <c r="Z413" s="117"/>
      <c r="AA413" s="117"/>
      <c r="AB413" s="117"/>
      <c r="AC413" s="117"/>
      <c r="AD413" s="117"/>
      <c r="AE413" s="117"/>
      <c r="AF413" s="117"/>
      <c r="AG413" s="117"/>
      <c r="AH413" s="117"/>
    </row>
    <row r="414" spans="1:34" s="161" customFormat="1" x14ac:dyDescent="0.2">
      <c r="A414" s="157"/>
      <c r="B414" s="274"/>
      <c r="C414" s="117"/>
      <c r="D414" s="117"/>
      <c r="E414" s="117"/>
      <c r="F414" s="117"/>
      <c r="G414" s="117"/>
      <c r="H414" s="160"/>
      <c r="I414" s="117"/>
      <c r="J414" s="117"/>
      <c r="K414" s="117"/>
      <c r="L414" s="117"/>
      <c r="M414" s="117"/>
      <c r="N414" s="117"/>
      <c r="O414" s="117"/>
      <c r="P414" s="117"/>
      <c r="Q414" s="117"/>
      <c r="R414" s="117"/>
      <c r="S414" s="117"/>
      <c r="T414" s="117"/>
      <c r="U414" s="117"/>
      <c r="V414" s="117"/>
      <c r="W414" s="117"/>
      <c r="X414" s="117"/>
      <c r="Y414" s="117"/>
      <c r="Z414" s="117"/>
      <c r="AA414" s="117"/>
      <c r="AB414" s="117"/>
      <c r="AC414" s="117"/>
      <c r="AD414" s="117"/>
      <c r="AE414" s="117"/>
      <c r="AF414" s="117"/>
      <c r="AG414" s="117"/>
      <c r="AH414" s="117"/>
    </row>
    <row r="415" spans="1:34" s="161" customFormat="1" x14ac:dyDescent="0.2">
      <c r="A415" s="157"/>
      <c r="B415" s="274"/>
      <c r="C415" s="117"/>
      <c r="D415" s="117"/>
      <c r="E415" s="117"/>
      <c r="F415" s="117"/>
      <c r="G415" s="117"/>
      <c r="H415" s="160"/>
      <c r="I415" s="117"/>
      <c r="J415" s="117"/>
      <c r="K415" s="117"/>
      <c r="L415" s="117"/>
      <c r="M415" s="117"/>
      <c r="N415" s="117"/>
      <c r="O415" s="117"/>
      <c r="P415" s="117"/>
      <c r="Q415" s="117"/>
      <c r="R415" s="117"/>
      <c r="S415" s="117"/>
      <c r="T415" s="117"/>
      <c r="U415" s="117"/>
      <c r="V415" s="117"/>
      <c r="W415" s="117"/>
      <c r="X415" s="117"/>
      <c r="Y415" s="117"/>
      <c r="Z415" s="117"/>
      <c r="AA415" s="117"/>
      <c r="AB415" s="117"/>
      <c r="AC415" s="117"/>
      <c r="AD415" s="117"/>
      <c r="AE415" s="117"/>
      <c r="AF415" s="117"/>
      <c r="AG415" s="117"/>
      <c r="AH415" s="117"/>
    </row>
    <row r="416" spans="1:34" s="161" customFormat="1" x14ac:dyDescent="0.2">
      <c r="A416" s="157"/>
      <c r="B416" s="274"/>
      <c r="C416" s="117"/>
      <c r="D416" s="117"/>
      <c r="E416" s="117"/>
      <c r="F416" s="117"/>
      <c r="G416" s="117"/>
      <c r="H416" s="160"/>
      <c r="I416" s="117"/>
      <c r="J416" s="117"/>
      <c r="K416" s="117"/>
      <c r="L416" s="117"/>
      <c r="M416" s="117"/>
      <c r="N416" s="117"/>
      <c r="O416" s="117"/>
      <c r="P416" s="117"/>
      <c r="Q416" s="117"/>
      <c r="R416" s="117"/>
      <c r="S416" s="117"/>
      <c r="T416" s="117"/>
      <c r="U416" s="117"/>
      <c r="V416" s="117"/>
      <c r="W416" s="117"/>
      <c r="X416" s="117"/>
      <c r="Y416" s="117"/>
      <c r="Z416" s="117"/>
      <c r="AA416" s="117"/>
      <c r="AB416" s="117"/>
      <c r="AC416" s="117"/>
      <c r="AD416" s="117"/>
      <c r="AE416" s="117"/>
      <c r="AF416" s="117"/>
      <c r="AG416" s="117"/>
      <c r="AH416" s="117"/>
    </row>
    <row r="417" spans="1:34" s="161" customFormat="1" x14ac:dyDescent="0.2">
      <c r="A417" s="157"/>
      <c r="B417" s="274"/>
      <c r="C417" s="117"/>
      <c r="D417" s="117"/>
      <c r="E417" s="117"/>
      <c r="F417" s="117"/>
      <c r="G417" s="117"/>
      <c r="H417" s="160"/>
      <c r="I417" s="117"/>
      <c r="J417" s="117"/>
      <c r="K417" s="117"/>
      <c r="L417" s="117"/>
      <c r="M417" s="117"/>
      <c r="N417" s="117"/>
      <c r="O417" s="117"/>
      <c r="P417" s="117"/>
      <c r="Q417" s="117"/>
      <c r="R417" s="117"/>
      <c r="S417" s="117"/>
      <c r="T417" s="117"/>
      <c r="U417" s="117"/>
      <c r="V417" s="117"/>
      <c r="W417" s="117"/>
      <c r="X417" s="117"/>
      <c r="Y417" s="117"/>
      <c r="Z417" s="117"/>
      <c r="AA417" s="117"/>
      <c r="AB417" s="117"/>
      <c r="AC417" s="117"/>
      <c r="AD417" s="117"/>
      <c r="AE417" s="117"/>
      <c r="AF417" s="117"/>
      <c r="AG417" s="117"/>
      <c r="AH417" s="117"/>
    </row>
    <row r="418" spans="1:34" s="161" customFormat="1" x14ac:dyDescent="0.2">
      <c r="A418" s="157"/>
      <c r="B418" s="274"/>
      <c r="C418" s="117"/>
      <c r="D418" s="117"/>
      <c r="E418" s="117"/>
      <c r="F418" s="117"/>
      <c r="G418" s="117"/>
      <c r="H418" s="160"/>
      <c r="I418" s="117"/>
      <c r="J418" s="117"/>
      <c r="K418" s="117"/>
      <c r="L418" s="117"/>
      <c r="M418" s="117"/>
      <c r="N418" s="117"/>
      <c r="O418" s="117"/>
      <c r="P418" s="117"/>
      <c r="Q418" s="117"/>
      <c r="R418" s="117"/>
      <c r="S418" s="117"/>
      <c r="T418" s="117"/>
      <c r="U418" s="117"/>
      <c r="V418" s="117"/>
      <c r="W418" s="117"/>
      <c r="X418" s="117"/>
      <c r="Y418" s="117"/>
      <c r="Z418" s="117"/>
      <c r="AA418" s="117"/>
      <c r="AB418" s="117"/>
      <c r="AC418" s="117"/>
      <c r="AD418" s="117"/>
      <c r="AE418" s="117"/>
      <c r="AF418" s="117"/>
      <c r="AG418" s="117"/>
      <c r="AH418" s="117"/>
    </row>
    <row r="419" spans="1:34" s="161" customFormat="1" x14ac:dyDescent="0.2">
      <c r="A419" s="157"/>
      <c r="B419" s="274"/>
      <c r="C419" s="117"/>
      <c r="D419" s="117"/>
      <c r="E419" s="117"/>
      <c r="F419" s="117"/>
      <c r="G419" s="117"/>
      <c r="H419" s="160"/>
      <c r="I419" s="117"/>
      <c r="J419" s="117"/>
      <c r="K419" s="117"/>
      <c r="L419" s="117"/>
      <c r="M419" s="117"/>
      <c r="N419" s="117"/>
      <c r="O419" s="117"/>
      <c r="P419" s="117"/>
      <c r="Q419" s="117"/>
      <c r="R419" s="117"/>
      <c r="S419" s="117"/>
      <c r="T419" s="117"/>
      <c r="U419" s="117"/>
      <c r="V419" s="117"/>
      <c r="W419" s="117"/>
      <c r="X419" s="117"/>
      <c r="Y419" s="117"/>
      <c r="Z419" s="117"/>
      <c r="AA419" s="117"/>
      <c r="AB419" s="117"/>
      <c r="AC419" s="117"/>
      <c r="AD419" s="117"/>
      <c r="AE419" s="117"/>
      <c r="AF419" s="117"/>
      <c r="AG419" s="117"/>
      <c r="AH419" s="117"/>
    </row>
    <row r="420" spans="1:34" s="161" customFormat="1" x14ac:dyDescent="0.2">
      <c r="A420" s="157"/>
      <c r="B420" s="274"/>
      <c r="C420" s="117"/>
      <c r="D420" s="117"/>
      <c r="E420" s="117"/>
      <c r="F420" s="117"/>
      <c r="G420" s="117"/>
      <c r="H420" s="160"/>
      <c r="I420" s="117"/>
      <c r="J420" s="117"/>
      <c r="K420" s="117"/>
      <c r="L420" s="117"/>
      <c r="M420" s="117"/>
      <c r="N420" s="117"/>
      <c r="O420" s="117"/>
      <c r="P420" s="117"/>
      <c r="Q420" s="117"/>
      <c r="R420" s="117"/>
      <c r="S420" s="117"/>
      <c r="T420" s="117"/>
      <c r="U420" s="117"/>
      <c r="V420" s="117"/>
      <c r="W420" s="117"/>
      <c r="X420" s="117"/>
      <c r="Y420" s="117"/>
      <c r="Z420" s="117"/>
      <c r="AA420" s="117"/>
      <c r="AB420" s="117"/>
      <c r="AC420" s="117"/>
      <c r="AD420" s="117"/>
      <c r="AE420" s="117"/>
      <c r="AF420" s="117"/>
      <c r="AG420" s="117"/>
      <c r="AH420" s="117"/>
    </row>
    <row r="421" spans="1:34" s="161" customFormat="1" x14ac:dyDescent="0.2">
      <c r="A421" s="157"/>
      <c r="B421" s="274"/>
      <c r="C421" s="117"/>
      <c r="D421" s="117"/>
      <c r="E421" s="117"/>
      <c r="F421" s="117"/>
      <c r="G421" s="117"/>
      <c r="H421" s="160"/>
      <c r="I421" s="117"/>
      <c r="J421" s="117"/>
      <c r="K421" s="117"/>
      <c r="L421" s="117"/>
      <c r="M421" s="117"/>
      <c r="N421" s="117"/>
      <c r="O421" s="117"/>
      <c r="P421" s="117"/>
      <c r="Q421" s="117"/>
      <c r="R421" s="117"/>
      <c r="S421" s="117"/>
      <c r="T421" s="117"/>
      <c r="U421" s="117"/>
      <c r="V421" s="117"/>
      <c r="W421" s="117"/>
      <c r="X421" s="117"/>
      <c r="Y421" s="117"/>
      <c r="Z421" s="117"/>
      <c r="AA421" s="117"/>
      <c r="AB421" s="117"/>
      <c r="AC421" s="117"/>
      <c r="AD421" s="117"/>
      <c r="AE421" s="117"/>
      <c r="AF421" s="117"/>
      <c r="AG421" s="117"/>
      <c r="AH421" s="117"/>
    </row>
    <row r="422" spans="1:34" s="161" customFormat="1" x14ac:dyDescent="0.2">
      <c r="A422" s="157"/>
      <c r="B422" s="274"/>
      <c r="C422" s="117"/>
      <c r="D422" s="117"/>
      <c r="E422" s="117"/>
      <c r="F422" s="117"/>
      <c r="G422" s="117"/>
      <c r="H422" s="160"/>
      <c r="I422" s="117"/>
      <c r="J422" s="117"/>
      <c r="K422" s="117"/>
      <c r="L422" s="117"/>
      <c r="M422" s="117"/>
      <c r="N422" s="117"/>
      <c r="O422" s="117"/>
      <c r="P422" s="117"/>
      <c r="Q422" s="117"/>
      <c r="R422" s="117"/>
      <c r="S422" s="117"/>
      <c r="T422" s="117"/>
      <c r="U422" s="117"/>
      <c r="V422" s="117"/>
      <c r="W422" s="117"/>
      <c r="X422" s="117"/>
      <c r="Y422" s="117"/>
      <c r="Z422" s="117"/>
      <c r="AA422" s="117"/>
      <c r="AB422" s="117"/>
      <c r="AC422" s="117"/>
      <c r="AD422" s="117"/>
      <c r="AE422" s="117"/>
      <c r="AF422" s="117"/>
      <c r="AG422" s="117"/>
      <c r="AH422" s="117"/>
    </row>
    <row r="423" spans="1:34" s="161" customFormat="1" x14ac:dyDescent="0.2">
      <c r="A423" s="157"/>
      <c r="B423" s="274"/>
      <c r="C423" s="117"/>
      <c r="D423" s="117"/>
      <c r="E423" s="117"/>
      <c r="F423" s="117"/>
      <c r="G423" s="117"/>
      <c r="H423" s="160"/>
      <c r="I423" s="117"/>
      <c r="J423" s="117"/>
      <c r="K423" s="117"/>
      <c r="L423" s="117"/>
      <c r="M423" s="117"/>
      <c r="N423" s="117"/>
      <c r="O423" s="117"/>
      <c r="P423" s="117"/>
      <c r="Q423" s="117"/>
      <c r="R423" s="117"/>
      <c r="S423" s="117"/>
      <c r="T423" s="117"/>
      <c r="U423" s="117"/>
      <c r="V423" s="117"/>
      <c r="W423" s="117"/>
      <c r="X423" s="117"/>
      <c r="Y423" s="117"/>
      <c r="Z423" s="117"/>
      <c r="AA423" s="117"/>
      <c r="AB423" s="117"/>
      <c r="AC423" s="117"/>
      <c r="AD423" s="117"/>
      <c r="AE423" s="117"/>
      <c r="AF423" s="117"/>
      <c r="AG423" s="117"/>
      <c r="AH423" s="117"/>
    </row>
    <row r="424" spans="1:34" s="161" customFormat="1" x14ac:dyDescent="0.2">
      <c r="A424" s="157"/>
      <c r="B424" s="274"/>
      <c r="C424" s="117"/>
      <c r="D424" s="117"/>
      <c r="E424" s="117"/>
      <c r="F424" s="117"/>
      <c r="G424" s="117"/>
      <c r="H424" s="160"/>
      <c r="I424" s="117"/>
      <c r="J424" s="117"/>
      <c r="K424" s="117"/>
      <c r="L424" s="117"/>
      <c r="M424" s="117"/>
      <c r="N424" s="117"/>
      <c r="O424" s="117"/>
      <c r="P424" s="117"/>
      <c r="Q424" s="117"/>
      <c r="R424" s="117"/>
      <c r="S424" s="117"/>
      <c r="T424" s="117"/>
      <c r="U424" s="117"/>
      <c r="V424" s="117"/>
      <c r="W424" s="117"/>
      <c r="X424" s="117"/>
      <c r="Y424" s="117"/>
      <c r="Z424" s="117"/>
      <c r="AA424" s="117"/>
      <c r="AB424" s="117"/>
      <c r="AC424" s="117"/>
      <c r="AD424" s="117"/>
      <c r="AE424" s="117"/>
      <c r="AF424" s="117"/>
      <c r="AG424" s="117"/>
      <c r="AH424" s="117"/>
    </row>
    <row r="425" spans="1:34" s="161" customFormat="1" x14ac:dyDescent="0.2">
      <c r="A425" s="157"/>
      <c r="B425" s="274"/>
      <c r="C425" s="117"/>
      <c r="D425" s="117"/>
      <c r="E425" s="117"/>
      <c r="F425" s="117"/>
      <c r="G425" s="117"/>
      <c r="H425" s="160"/>
      <c r="I425" s="117"/>
      <c r="J425" s="117"/>
      <c r="K425" s="117"/>
      <c r="L425" s="117"/>
      <c r="M425" s="117"/>
      <c r="N425" s="117"/>
      <c r="O425" s="117"/>
      <c r="P425" s="117"/>
      <c r="Q425" s="117"/>
      <c r="R425" s="117"/>
      <c r="S425" s="117"/>
      <c r="T425" s="117"/>
      <c r="U425" s="117"/>
      <c r="V425" s="117"/>
      <c r="W425" s="117"/>
      <c r="X425" s="117"/>
      <c r="Y425" s="117"/>
      <c r="Z425" s="117"/>
      <c r="AA425" s="117"/>
      <c r="AB425" s="117"/>
      <c r="AC425" s="117"/>
      <c r="AD425" s="117"/>
      <c r="AE425" s="117"/>
      <c r="AF425" s="117"/>
      <c r="AG425" s="117"/>
      <c r="AH425" s="117"/>
    </row>
    <row r="426" spans="1:34" s="161" customFormat="1" x14ac:dyDescent="0.2">
      <c r="A426" s="157"/>
      <c r="B426" s="274"/>
      <c r="C426" s="117"/>
      <c r="D426" s="117"/>
      <c r="E426" s="117"/>
      <c r="F426" s="117"/>
      <c r="G426" s="117"/>
      <c r="H426" s="160"/>
      <c r="I426" s="117"/>
      <c r="J426" s="117"/>
      <c r="K426" s="117"/>
      <c r="L426" s="117"/>
      <c r="M426" s="117"/>
      <c r="N426" s="117"/>
      <c r="O426" s="117"/>
      <c r="P426" s="117"/>
      <c r="Q426" s="117"/>
      <c r="R426" s="117"/>
      <c r="S426" s="117"/>
      <c r="T426" s="117"/>
      <c r="U426" s="117"/>
      <c r="V426" s="117"/>
      <c r="W426" s="117"/>
      <c r="X426" s="117"/>
      <c r="Y426" s="117"/>
      <c r="Z426" s="117"/>
      <c r="AA426" s="117"/>
      <c r="AB426" s="117"/>
      <c r="AC426" s="117"/>
      <c r="AD426" s="117"/>
      <c r="AE426" s="117"/>
      <c r="AF426" s="117"/>
      <c r="AG426" s="117"/>
      <c r="AH426" s="117"/>
    </row>
    <row r="427" spans="1:34" s="161" customFormat="1" x14ac:dyDescent="0.2">
      <c r="A427" s="157"/>
      <c r="B427" s="274"/>
      <c r="C427" s="117"/>
      <c r="D427" s="117"/>
      <c r="E427" s="117"/>
      <c r="F427" s="117"/>
      <c r="G427" s="117"/>
      <c r="H427" s="160"/>
      <c r="I427" s="117"/>
      <c r="J427" s="117"/>
      <c r="K427" s="117"/>
      <c r="L427" s="117"/>
      <c r="M427" s="117"/>
      <c r="N427" s="117"/>
      <c r="O427" s="117"/>
      <c r="P427" s="117"/>
      <c r="Q427" s="117"/>
      <c r="R427" s="117"/>
      <c r="S427" s="117"/>
      <c r="T427" s="117"/>
      <c r="U427" s="117"/>
      <c r="V427" s="117"/>
      <c r="W427" s="117"/>
      <c r="X427" s="117"/>
      <c r="Y427" s="117"/>
      <c r="Z427" s="117"/>
      <c r="AA427" s="117"/>
      <c r="AB427" s="117"/>
      <c r="AC427" s="117"/>
      <c r="AD427" s="117"/>
      <c r="AE427" s="117"/>
      <c r="AF427" s="117"/>
      <c r="AG427" s="117"/>
      <c r="AH427" s="117"/>
    </row>
    <row r="428" spans="1:34" s="161" customFormat="1" x14ac:dyDescent="0.2">
      <c r="A428" s="157"/>
      <c r="B428" s="274"/>
      <c r="C428" s="117"/>
      <c r="D428" s="117"/>
      <c r="E428" s="117"/>
      <c r="F428" s="117"/>
      <c r="G428" s="117"/>
      <c r="H428" s="160"/>
      <c r="I428" s="117"/>
      <c r="J428" s="117"/>
      <c r="K428" s="117"/>
      <c r="L428" s="117"/>
      <c r="M428" s="117"/>
      <c r="N428" s="117"/>
      <c r="O428" s="117"/>
      <c r="P428" s="117"/>
      <c r="Q428" s="117"/>
      <c r="R428" s="117"/>
      <c r="S428" s="117"/>
      <c r="T428" s="117"/>
      <c r="U428" s="117"/>
      <c r="V428" s="117"/>
      <c r="W428" s="117"/>
      <c r="X428" s="117"/>
      <c r="Y428" s="117"/>
      <c r="Z428" s="117"/>
      <c r="AA428" s="117"/>
      <c r="AB428" s="117"/>
      <c r="AC428" s="117"/>
      <c r="AD428" s="117"/>
      <c r="AE428" s="117"/>
      <c r="AF428" s="117"/>
      <c r="AG428" s="117"/>
      <c r="AH428" s="117"/>
    </row>
    <row r="429" spans="1:34" s="161" customFormat="1" x14ac:dyDescent="0.2">
      <c r="A429" s="157"/>
      <c r="B429" s="274"/>
      <c r="C429" s="117"/>
      <c r="D429" s="117"/>
      <c r="E429" s="117"/>
      <c r="F429" s="117"/>
      <c r="G429" s="117"/>
      <c r="H429" s="160"/>
      <c r="I429" s="117"/>
      <c r="J429" s="117"/>
      <c r="K429" s="117"/>
      <c r="L429" s="117"/>
      <c r="M429" s="117"/>
      <c r="N429" s="117"/>
      <c r="O429" s="117"/>
      <c r="P429" s="117"/>
      <c r="Q429" s="117"/>
      <c r="R429" s="117"/>
      <c r="S429" s="117"/>
      <c r="T429" s="117"/>
      <c r="U429" s="117"/>
      <c r="V429" s="117"/>
      <c r="W429" s="117"/>
      <c r="X429" s="117"/>
      <c r="Y429" s="117"/>
      <c r="Z429" s="117"/>
      <c r="AA429" s="117"/>
      <c r="AB429" s="117"/>
      <c r="AC429" s="117"/>
      <c r="AD429" s="117"/>
      <c r="AE429" s="117"/>
      <c r="AF429" s="117"/>
      <c r="AG429" s="117"/>
      <c r="AH429" s="117"/>
    </row>
    <row r="430" spans="1:34" s="161" customFormat="1" x14ac:dyDescent="0.2">
      <c r="A430" s="157"/>
      <c r="B430" s="274"/>
      <c r="C430" s="117"/>
      <c r="D430" s="117"/>
      <c r="E430" s="117"/>
      <c r="F430" s="117"/>
      <c r="G430" s="117"/>
      <c r="H430" s="160"/>
      <c r="I430" s="117"/>
      <c r="J430" s="117"/>
      <c r="K430" s="117"/>
      <c r="L430" s="117"/>
      <c r="M430" s="117"/>
      <c r="N430" s="117"/>
      <c r="O430" s="117"/>
      <c r="P430" s="117"/>
      <c r="Q430" s="117"/>
      <c r="R430" s="117"/>
      <c r="S430" s="117"/>
      <c r="T430" s="117"/>
      <c r="U430" s="117"/>
      <c r="V430" s="117"/>
      <c r="W430" s="117"/>
      <c r="X430" s="117"/>
      <c r="Y430" s="117"/>
      <c r="Z430" s="117"/>
      <c r="AA430" s="117"/>
      <c r="AB430" s="117"/>
      <c r="AC430" s="117"/>
      <c r="AD430" s="117"/>
      <c r="AE430" s="117"/>
      <c r="AF430" s="117"/>
      <c r="AG430" s="117"/>
      <c r="AH430" s="117"/>
    </row>
    <row r="431" spans="1:34" s="161" customFormat="1" x14ac:dyDescent="0.2">
      <c r="A431" s="157"/>
      <c r="B431" s="274"/>
      <c r="C431" s="117"/>
      <c r="D431" s="117"/>
      <c r="E431" s="117"/>
      <c r="F431" s="117"/>
      <c r="G431" s="117"/>
      <c r="H431" s="160"/>
      <c r="I431" s="117"/>
      <c r="J431" s="117"/>
      <c r="K431" s="117"/>
      <c r="L431" s="117"/>
      <c r="M431" s="117"/>
      <c r="N431" s="117"/>
      <c r="O431" s="117"/>
      <c r="P431" s="117"/>
      <c r="Q431" s="117"/>
      <c r="R431" s="117"/>
      <c r="S431" s="117"/>
      <c r="T431" s="117"/>
      <c r="U431" s="117"/>
      <c r="V431" s="117"/>
      <c r="W431" s="117"/>
      <c r="X431" s="117"/>
      <c r="Y431" s="117"/>
      <c r="Z431" s="117"/>
      <c r="AA431" s="117"/>
      <c r="AB431" s="117"/>
      <c r="AC431" s="117"/>
      <c r="AD431" s="117"/>
      <c r="AE431" s="117"/>
      <c r="AF431" s="117"/>
      <c r="AG431" s="117"/>
      <c r="AH431" s="117"/>
    </row>
    <row r="432" spans="1:34" s="161" customFormat="1" x14ac:dyDescent="0.2">
      <c r="A432" s="157"/>
      <c r="B432" s="274"/>
      <c r="C432" s="117"/>
      <c r="D432" s="117"/>
      <c r="E432" s="117"/>
      <c r="F432" s="117"/>
      <c r="G432" s="117"/>
      <c r="H432" s="160"/>
      <c r="I432" s="117"/>
      <c r="J432" s="117"/>
      <c r="K432" s="117"/>
      <c r="L432" s="117"/>
      <c r="M432" s="117"/>
      <c r="N432" s="117"/>
      <c r="O432" s="117"/>
      <c r="P432" s="117"/>
      <c r="Q432" s="117"/>
      <c r="R432" s="117"/>
      <c r="S432" s="117"/>
      <c r="T432" s="117"/>
      <c r="U432" s="117"/>
      <c r="V432" s="117"/>
      <c r="W432" s="117"/>
      <c r="X432" s="117"/>
      <c r="Y432" s="117"/>
      <c r="Z432" s="117"/>
      <c r="AA432" s="117"/>
      <c r="AB432" s="117"/>
      <c r="AC432" s="117"/>
      <c r="AD432" s="117"/>
      <c r="AE432" s="117"/>
      <c r="AF432" s="117"/>
      <c r="AG432" s="117"/>
      <c r="AH432" s="117"/>
    </row>
    <row r="433" spans="1:34" s="161" customFormat="1" x14ac:dyDescent="0.2">
      <c r="A433" s="157"/>
      <c r="B433" s="274"/>
      <c r="C433" s="117"/>
      <c r="D433" s="117"/>
      <c r="E433" s="117"/>
      <c r="F433" s="117"/>
      <c r="G433" s="117"/>
      <c r="H433" s="160"/>
      <c r="I433" s="117"/>
      <c r="J433" s="117"/>
      <c r="K433" s="117"/>
      <c r="L433" s="117"/>
      <c r="M433" s="117"/>
      <c r="N433" s="117"/>
      <c r="O433" s="117"/>
      <c r="P433" s="117"/>
      <c r="Q433" s="117"/>
      <c r="R433" s="117"/>
      <c r="S433" s="117"/>
      <c r="T433" s="117"/>
      <c r="U433" s="117"/>
      <c r="V433" s="117"/>
      <c r="W433" s="117"/>
      <c r="X433" s="117"/>
      <c r="Y433" s="117"/>
      <c r="Z433" s="117"/>
      <c r="AA433" s="117"/>
      <c r="AB433" s="117"/>
      <c r="AC433" s="117"/>
      <c r="AD433" s="117"/>
      <c r="AE433" s="117"/>
      <c r="AF433" s="117"/>
      <c r="AG433" s="117"/>
      <c r="AH433" s="117"/>
    </row>
    <row r="434" spans="1:34" s="161" customFormat="1" x14ac:dyDescent="0.2">
      <c r="A434" s="157"/>
      <c r="B434" s="274"/>
      <c r="C434" s="117"/>
      <c r="D434" s="117"/>
      <c r="E434" s="117"/>
      <c r="F434" s="117"/>
      <c r="G434" s="117"/>
      <c r="H434" s="160"/>
      <c r="I434" s="117"/>
      <c r="J434" s="117"/>
      <c r="K434" s="117"/>
      <c r="L434" s="117"/>
      <c r="M434" s="117"/>
      <c r="N434" s="117"/>
      <c r="O434" s="117"/>
      <c r="P434" s="117"/>
      <c r="Q434" s="117"/>
      <c r="R434" s="117"/>
      <c r="S434" s="117"/>
      <c r="T434" s="117"/>
      <c r="U434" s="117"/>
      <c r="V434" s="117"/>
      <c r="W434" s="117"/>
      <c r="X434" s="117"/>
      <c r="Y434" s="117"/>
      <c r="Z434" s="117"/>
      <c r="AA434" s="117"/>
      <c r="AB434" s="117"/>
      <c r="AC434" s="117"/>
      <c r="AD434" s="117"/>
      <c r="AE434" s="117"/>
      <c r="AF434" s="117"/>
      <c r="AG434" s="117"/>
      <c r="AH434" s="117"/>
    </row>
    <row r="435" spans="1:34" s="161" customFormat="1" x14ac:dyDescent="0.2">
      <c r="A435" s="157"/>
      <c r="B435" s="274"/>
      <c r="C435" s="117"/>
      <c r="D435" s="117"/>
      <c r="E435" s="117"/>
      <c r="F435" s="117"/>
      <c r="G435" s="117"/>
      <c r="H435" s="160"/>
      <c r="I435" s="117"/>
      <c r="J435" s="117"/>
      <c r="K435" s="117"/>
      <c r="L435" s="117"/>
      <c r="M435" s="117"/>
      <c r="N435" s="117"/>
      <c r="O435" s="117"/>
      <c r="P435" s="117"/>
      <c r="Q435" s="117"/>
      <c r="R435" s="117"/>
      <c r="S435" s="117"/>
      <c r="T435" s="117"/>
      <c r="U435" s="117"/>
      <c r="V435" s="117"/>
      <c r="W435" s="117"/>
      <c r="X435" s="117"/>
      <c r="Y435" s="117"/>
      <c r="Z435" s="117"/>
      <c r="AA435" s="117"/>
      <c r="AB435" s="117"/>
      <c r="AC435" s="117"/>
      <c r="AD435" s="117"/>
      <c r="AE435" s="117"/>
      <c r="AF435" s="117"/>
      <c r="AG435" s="117"/>
      <c r="AH435" s="117"/>
    </row>
    <row r="436" spans="1:34" s="161" customFormat="1" x14ac:dyDescent="0.2">
      <c r="A436" s="157"/>
      <c r="B436" s="274"/>
      <c r="C436" s="117"/>
      <c r="D436" s="117"/>
      <c r="E436" s="117"/>
      <c r="F436" s="117"/>
      <c r="G436" s="117"/>
      <c r="H436" s="160"/>
      <c r="I436" s="117"/>
      <c r="J436" s="117"/>
      <c r="K436" s="117"/>
      <c r="L436" s="117"/>
      <c r="M436" s="117"/>
      <c r="N436" s="117"/>
      <c r="O436" s="117"/>
      <c r="P436" s="117"/>
      <c r="Q436" s="117"/>
      <c r="R436" s="117"/>
      <c r="S436" s="117"/>
      <c r="T436" s="117"/>
      <c r="U436" s="117"/>
      <c r="V436" s="117"/>
      <c r="W436" s="117"/>
      <c r="X436" s="117"/>
      <c r="Y436" s="117"/>
      <c r="Z436" s="117"/>
      <c r="AA436" s="117"/>
      <c r="AB436" s="117"/>
      <c r="AC436" s="117"/>
      <c r="AD436" s="117"/>
      <c r="AE436" s="117"/>
      <c r="AF436" s="117"/>
      <c r="AG436" s="117"/>
      <c r="AH436" s="117"/>
    </row>
    <row r="437" spans="1:34" s="161" customFormat="1" x14ac:dyDescent="0.2">
      <c r="A437" s="157"/>
      <c r="B437" s="274"/>
      <c r="C437" s="117"/>
      <c r="D437" s="117"/>
      <c r="E437" s="117"/>
      <c r="F437" s="117"/>
      <c r="G437" s="117"/>
      <c r="H437" s="160"/>
      <c r="I437" s="117"/>
      <c r="J437" s="117"/>
      <c r="K437" s="117"/>
      <c r="L437" s="117"/>
      <c r="M437" s="117"/>
      <c r="N437" s="117"/>
      <c r="O437" s="117"/>
      <c r="P437" s="117"/>
      <c r="Q437" s="117"/>
      <c r="R437" s="117"/>
      <c r="S437" s="117"/>
      <c r="T437" s="117"/>
      <c r="U437" s="117"/>
      <c r="V437" s="117"/>
      <c r="W437" s="117"/>
      <c r="X437" s="117"/>
      <c r="Y437" s="117"/>
      <c r="Z437" s="117"/>
      <c r="AA437" s="117"/>
      <c r="AB437" s="117"/>
      <c r="AC437" s="117"/>
      <c r="AD437" s="117"/>
      <c r="AE437" s="117"/>
      <c r="AF437" s="117"/>
      <c r="AG437" s="117"/>
      <c r="AH437" s="117"/>
    </row>
    <row r="438" spans="1:34" s="161" customFormat="1" x14ac:dyDescent="0.2">
      <c r="A438" s="157"/>
      <c r="B438" s="274"/>
      <c r="C438" s="117"/>
      <c r="D438" s="117"/>
      <c r="E438" s="117"/>
      <c r="F438" s="117"/>
      <c r="G438" s="117"/>
      <c r="H438" s="160"/>
      <c r="I438" s="117"/>
      <c r="J438" s="117"/>
      <c r="K438" s="117"/>
      <c r="L438" s="117"/>
      <c r="M438" s="117"/>
      <c r="N438" s="117"/>
      <c r="O438" s="117"/>
      <c r="P438" s="117"/>
      <c r="Q438" s="117"/>
      <c r="R438" s="117"/>
      <c r="S438" s="117"/>
      <c r="T438" s="117"/>
      <c r="U438" s="117"/>
      <c r="V438" s="117"/>
      <c r="W438" s="117"/>
      <c r="X438" s="117"/>
      <c r="Y438" s="117"/>
      <c r="Z438" s="117"/>
      <c r="AA438" s="117"/>
      <c r="AB438" s="117"/>
      <c r="AC438" s="117"/>
      <c r="AD438" s="117"/>
      <c r="AE438" s="117"/>
      <c r="AF438" s="117"/>
      <c r="AG438" s="117"/>
      <c r="AH438" s="117"/>
    </row>
    <row r="439" spans="1:34" s="161" customFormat="1" x14ac:dyDescent="0.2">
      <c r="A439" s="157"/>
      <c r="B439" s="274"/>
      <c r="C439" s="117"/>
      <c r="D439" s="117"/>
      <c r="E439" s="117"/>
      <c r="F439" s="117"/>
      <c r="G439" s="117"/>
      <c r="H439" s="160"/>
      <c r="I439" s="117"/>
      <c r="J439" s="117"/>
      <c r="K439" s="117"/>
      <c r="L439" s="117"/>
      <c r="M439" s="117"/>
      <c r="N439" s="117"/>
      <c r="O439" s="117"/>
      <c r="P439" s="117"/>
      <c r="Q439" s="117"/>
      <c r="R439" s="117"/>
      <c r="S439" s="117"/>
      <c r="T439" s="117"/>
      <c r="U439" s="117"/>
      <c r="V439" s="117"/>
      <c r="W439" s="117"/>
      <c r="X439" s="117"/>
      <c r="Y439" s="117"/>
      <c r="Z439" s="117"/>
      <c r="AA439" s="117"/>
      <c r="AB439" s="117"/>
      <c r="AC439" s="117"/>
      <c r="AD439" s="117"/>
      <c r="AE439" s="117"/>
      <c r="AF439" s="117"/>
      <c r="AG439" s="117"/>
      <c r="AH439" s="117"/>
    </row>
    <row r="440" spans="1:34" s="161" customFormat="1" x14ac:dyDescent="0.2">
      <c r="A440" s="157"/>
      <c r="B440" s="274"/>
      <c r="C440" s="117"/>
      <c r="D440" s="117"/>
      <c r="E440" s="117"/>
      <c r="F440" s="117"/>
      <c r="G440" s="117"/>
      <c r="H440" s="160"/>
      <c r="I440" s="117"/>
      <c r="J440" s="117"/>
      <c r="K440" s="117"/>
      <c r="L440" s="117"/>
      <c r="M440" s="117"/>
      <c r="N440" s="117"/>
      <c r="O440" s="117"/>
      <c r="P440" s="117"/>
      <c r="Q440" s="117"/>
      <c r="R440" s="117"/>
      <c r="S440" s="117"/>
      <c r="T440" s="117"/>
      <c r="U440" s="117"/>
      <c r="V440" s="117"/>
      <c r="W440" s="117"/>
      <c r="X440" s="117"/>
      <c r="Y440" s="117"/>
      <c r="Z440" s="117"/>
      <c r="AA440" s="117"/>
      <c r="AB440" s="117"/>
      <c r="AC440" s="117"/>
      <c r="AD440" s="117"/>
      <c r="AE440" s="117"/>
      <c r="AF440" s="117"/>
      <c r="AG440" s="117"/>
      <c r="AH440" s="117"/>
    </row>
    <row r="441" spans="1:34" s="161" customFormat="1" x14ac:dyDescent="0.2">
      <c r="A441" s="157"/>
      <c r="B441" s="274"/>
      <c r="C441" s="117"/>
      <c r="D441" s="117"/>
      <c r="E441" s="117"/>
      <c r="F441" s="117"/>
      <c r="G441" s="117"/>
      <c r="H441" s="160"/>
      <c r="I441" s="117"/>
      <c r="J441" s="117"/>
      <c r="K441" s="117"/>
      <c r="L441" s="117"/>
      <c r="M441" s="117"/>
      <c r="N441" s="117"/>
      <c r="O441" s="117"/>
      <c r="P441" s="117"/>
      <c r="Q441" s="117"/>
      <c r="R441" s="117"/>
      <c r="S441" s="117"/>
      <c r="T441" s="117"/>
      <c r="U441" s="117"/>
      <c r="V441" s="117"/>
      <c r="W441" s="117"/>
      <c r="X441" s="117"/>
      <c r="Y441" s="117"/>
      <c r="Z441" s="117"/>
      <c r="AA441" s="117"/>
      <c r="AB441" s="117"/>
      <c r="AC441" s="117"/>
      <c r="AD441" s="117"/>
      <c r="AE441" s="117"/>
      <c r="AF441" s="117"/>
      <c r="AG441" s="117"/>
      <c r="AH441" s="117"/>
    </row>
    <row r="442" spans="1:34" s="161" customFormat="1" x14ac:dyDescent="0.2">
      <c r="A442" s="157"/>
      <c r="B442" s="274"/>
      <c r="C442" s="117"/>
      <c r="D442" s="117"/>
      <c r="E442" s="117"/>
      <c r="F442" s="117"/>
      <c r="G442" s="117"/>
      <c r="H442" s="160"/>
      <c r="I442" s="117"/>
      <c r="J442" s="117"/>
      <c r="K442" s="117"/>
      <c r="L442" s="117"/>
      <c r="M442" s="117"/>
      <c r="N442" s="117"/>
      <c r="O442" s="117"/>
      <c r="P442" s="117"/>
      <c r="Q442" s="117"/>
      <c r="R442" s="117"/>
      <c r="S442" s="117"/>
      <c r="T442" s="117"/>
      <c r="U442" s="117"/>
      <c r="V442" s="117"/>
      <c r="W442" s="117"/>
      <c r="X442" s="117"/>
      <c r="Y442" s="117"/>
      <c r="Z442" s="117"/>
      <c r="AA442" s="117"/>
      <c r="AB442" s="117"/>
      <c r="AC442" s="117"/>
      <c r="AD442" s="117"/>
      <c r="AE442" s="117"/>
      <c r="AF442" s="117"/>
      <c r="AG442" s="117"/>
      <c r="AH442" s="117"/>
    </row>
    <row r="443" spans="1:34" s="161" customFormat="1" x14ac:dyDescent="0.2">
      <c r="A443" s="157"/>
      <c r="B443" s="274"/>
      <c r="C443" s="117"/>
      <c r="D443" s="117"/>
      <c r="E443" s="117"/>
      <c r="F443" s="117"/>
      <c r="G443" s="117"/>
      <c r="H443" s="160"/>
      <c r="I443" s="117"/>
      <c r="J443" s="117"/>
      <c r="K443" s="117"/>
      <c r="L443" s="117"/>
      <c r="M443" s="117"/>
      <c r="N443" s="117"/>
      <c r="O443" s="117"/>
      <c r="P443" s="117"/>
      <c r="Q443" s="117"/>
      <c r="R443" s="117"/>
      <c r="S443" s="117"/>
      <c r="T443" s="117"/>
      <c r="U443" s="117"/>
      <c r="V443" s="117"/>
      <c r="W443" s="117"/>
      <c r="X443" s="117"/>
      <c r="Y443" s="117"/>
      <c r="Z443" s="117"/>
      <c r="AA443" s="117"/>
      <c r="AB443" s="117"/>
      <c r="AC443" s="117"/>
      <c r="AD443" s="117"/>
      <c r="AE443" s="117"/>
      <c r="AF443" s="117"/>
      <c r="AG443" s="117"/>
      <c r="AH443" s="117"/>
    </row>
    <row r="444" spans="1:34" s="161" customFormat="1" x14ac:dyDescent="0.2">
      <c r="A444" s="157"/>
      <c r="B444" s="274"/>
      <c r="C444" s="117"/>
      <c r="D444" s="117"/>
      <c r="E444" s="117"/>
      <c r="F444" s="117"/>
      <c r="G444" s="117"/>
      <c r="H444" s="160"/>
      <c r="I444" s="117"/>
      <c r="J444" s="117"/>
      <c r="K444" s="117"/>
      <c r="L444" s="117"/>
      <c r="M444" s="117"/>
      <c r="N444" s="117"/>
      <c r="O444" s="117"/>
      <c r="P444" s="117"/>
      <c r="Q444" s="117"/>
      <c r="R444" s="117"/>
      <c r="S444" s="117"/>
      <c r="T444" s="117"/>
      <c r="U444" s="117"/>
      <c r="V444" s="117"/>
      <c r="W444" s="117"/>
      <c r="X444" s="117"/>
      <c r="Y444" s="117"/>
      <c r="Z444" s="117"/>
      <c r="AA444" s="117"/>
      <c r="AB444" s="117"/>
      <c r="AC444" s="117"/>
      <c r="AD444" s="117"/>
      <c r="AE444" s="117"/>
      <c r="AF444" s="117"/>
      <c r="AG444" s="117"/>
      <c r="AH444" s="117"/>
    </row>
    <row r="445" spans="1:34" s="161" customFormat="1" x14ac:dyDescent="0.2">
      <c r="A445" s="157"/>
      <c r="B445" s="274"/>
      <c r="C445" s="117"/>
      <c r="D445" s="117"/>
      <c r="E445" s="117"/>
      <c r="F445" s="117"/>
      <c r="G445" s="117"/>
      <c r="H445" s="160"/>
      <c r="I445" s="117"/>
      <c r="J445" s="117"/>
      <c r="K445" s="117"/>
      <c r="L445" s="117"/>
      <c r="M445" s="117"/>
      <c r="N445" s="117"/>
      <c r="O445" s="117"/>
      <c r="P445" s="117"/>
      <c r="Q445" s="117"/>
      <c r="R445" s="117"/>
      <c r="S445" s="117"/>
      <c r="T445" s="117"/>
      <c r="U445" s="117"/>
      <c r="V445" s="117"/>
      <c r="W445" s="117"/>
      <c r="X445" s="117"/>
      <c r="Y445" s="117"/>
      <c r="Z445" s="117"/>
      <c r="AA445" s="117"/>
      <c r="AB445" s="117"/>
      <c r="AC445" s="117"/>
      <c r="AD445" s="117"/>
      <c r="AE445" s="117"/>
      <c r="AF445" s="117"/>
      <c r="AG445" s="117"/>
      <c r="AH445" s="117"/>
    </row>
    <row r="446" spans="1:34" s="161" customFormat="1" x14ac:dyDescent="0.2">
      <c r="A446" s="157"/>
      <c r="B446" s="274"/>
      <c r="C446" s="117"/>
      <c r="D446" s="117"/>
      <c r="E446" s="117"/>
      <c r="F446" s="117"/>
      <c r="G446" s="117"/>
      <c r="H446" s="160"/>
      <c r="I446" s="117"/>
      <c r="J446" s="117"/>
      <c r="K446" s="117"/>
      <c r="L446" s="117"/>
      <c r="M446" s="117"/>
      <c r="N446" s="117"/>
      <c r="O446" s="117"/>
      <c r="P446" s="117"/>
      <c r="Q446" s="117"/>
      <c r="R446" s="117"/>
      <c r="S446" s="117"/>
      <c r="T446" s="117"/>
      <c r="U446" s="117"/>
      <c r="V446" s="117"/>
      <c r="W446" s="117"/>
      <c r="X446" s="117"/>
      <c r="Y446" s="117"/>
      <c r="Z446" s="117"/>
      <c r="AA446" s="117"/>
      <c r="AB446" s="117"/>
      <c r="AC446" s="117"/>
      <c r="AD446" s="117"/>
      <c r="AE446" s="117"/>
      <c r="AF446" s="117"/>
      <c r="AG446" s="117"/>
      <c r="AH446" s="117"/>
    </row>
    <row r="447" spans="1:34" s="161" customFormat="1" x14ac:dyDescent="0.2">
      <c r="A447" s="157"/>
      <c r="B447" s="274"/>
      <c r="C447" s="117"/>
      <c r="D447" s="117"/>
      <c r="E447" s="117"/>
      <c r="F447" s="117"/>
      <c r="G447" s="117"/>
      <c r="H447" s="160"/>
      <c r="I447" s="117"/>
      <c r="J447" s="117"/>
      <c r="K447" s="117"/>
      <c r="L447" s="117"/>
      <c r="M447" s="117"/>
      <c r="N447" s="117"/>
      <c r="O447" s="117"/>
      <c r="P447" s="117"/>
      <c r="Q447" s="117"/>
      <c r="R447" s="117"/>
      <c r="S447" s="117"/>
      <c r="T447" s="117"/>
      <c r="U447" s="117"/>
      <c r="V447" s="117"/>
      <c r="W447" s="117"/>
      <c r="X447" s="117"/>
      <c r="Y447" s="117"/>
      <c r="Z447" s="117"/>
      <c r="AA447" s="117"/>
      <c r="AB447" s="117"/>
      <c r="AC447" s="117"/>
      <c r="AD447" s="117"/>
      <c r="AE447" s="117"/>
      <c r="AF447" s="117"/>
      <c r="AG447" s="117"/>
      <c r="AH447" s="117"/>
    </row>
    <row r="448" spans="1:34" s="161" customFormat="1" x14ac:dyDescent="0.2">
      <c r="A448" s="157"/>
      <c r="B448" s="274"/>
      <c r="C448" s="117"/>
      <c r="D448" s="117"/>
      <c r="E448" s="117"/>
      <c r="F448" s="117"/>
      <c r="G448" s="117"/>
      <c r="H448" s="160"/>
      <c r="I448" s="117"/>
      <c r="J448" s="117"/>
      <c r="K448" s="117"/>
      <c r="L448" s="117"/>
      <c r="M448" s="117"/>
      <c r="N448" s="117"/>
      <c r="O448" s="117"/>
      <c r="P448" s="117"/>
      <c r="Q448" s="117"/>
      <c r="R448" s="117"/>
      <c r="S448" s="117"/>
      <c r="T448" s="117"/>
      <c r="U448" s="117"/>
      <c r="V448" s="117"/>
      <c r="W448" s="117"/>
      <c r="X448" s="117"/>
      <c r="Y448" s="117"/>
      <c r="Z448" s="117"/>
      <c r="AA448" s="117"/>
      <c r="AB448" s="117"/>
      <c r="AC448" s="117"/>
      <c r="AD448" s="117"/>
      <c r="AE448" s="117"/>
      <c r="AF448" s="117"/>
      <c r="AG448" s="117"/>
      <c r="AH448" s="117"/>
    </row>
    <row r="449" spans="1:34" s="161" customFormat="1" x14ac:dyDescent="0.2">
      <c r="A449" s="157"/>
      <c r="B449" s="274"/>
      <c r="C449" s="117"/>
      <c r="D449" s="117"/>
      <c r="E449" s="117"/>
      <c r="F449" s="117"/>
      <c r="G449" s="117"/>
      <c r="H449" s="160"/>
      <c r="I449" s="117"/>
      <c r="J449" s="117"/>
      <c r="K449" s="117"/>
      <c r="L449" s="117"/>
      <c r="M449" s="117"/>
      <c r="N449" s="117"/>
      <c r="O449" s="117"/>
      <c r="P449" s="117"/>
      <c r="Q449" s="117"/>
      <c r="R449" s="117"/>
      <c r="S449" s="117"/>
      <c r="T449" s="117"/>
      <c r="U449" s="117"/>
      <c r="V449" s="117"/>
      <c r="W449" s="117"/>
      <c r="X449" s="117"/>
      <c r="Y449" s="117"/>
      <c r="Z449" s="117"/>
      <c r="AA449" s="117"/>
      <c r="AB449" s="117"/>
      <c r="AC449" s="117"/>
      <c r="AD449" s="117"/>
      <c r="AE449" s="117"/>
      <c r="AF449" s="117"/>
      <c r="AG449" s="117"/>
      <c r="AH449" s="117"/>
    </row>
    <row r="450" spans="1:34" s="161" customFormat="1" x14ac:dyDescent="0.2">
      <c r="A450" s="157"/>
      <c r="B450" s="274"/>
      <c r="C450" s="117"/>
      <c r="D450" s="117"/>
      <c r="E450" s="117"/>
      <c r="F450" s="117"/>
      <c r="G450" s="117"/>
      <c r="H450" s="160"/>
      <c r="I450" s="117"/>
      <c r="J450" s="117"/>
      <c r="K450" s="117"/>
      <c r="L450" s="117"/>
      <c r="M450" s="117"/>
      <c r="N450" s="117"/>
      <c r="O450" s="117"/>
      <c r="P450" s="117"/>
      <c r="Q450" s="117"/>
      <c r="R450" s="117"/>
      <c r="S450" s="117"/>
      <c r="T450" s="117"/>
      <c r="U450" s="117"/>
      <c r="V450" s="117"/>
      <c r="W450" s="117"/>
      <c r="X450" s="117"/>
      <c r="Y450" s="117"/>
      <c r="Z450" s="117"/>
      <c r="AA450" s="117"/>
      <c r="AB450" s="117"/>
      <c r="AC450" s="117"/>
      <c r="AD450" s="117"/>
      <c r="AE450" s="117"/>
      <c r="AF450" s="117"/>
      <c r="AG450" s="117"/>
      <c r="AH450" s="117"/>
    </row>
    <row r="451" spans="1:34" s="161" customFormat="1" x14ac:dyDescent="0.2">
      <c r="A451" s="157"/>
      <c r="B451" s="274"/>
      <c r="C451" s="117"/>
      <c r="D451" s="117"/>
      <c r="E451" s="117"/>
      <c r="F451" s="117"/>
      <c r="G451" s="117"/>
      <c r="H451" s="160"/>
      <c r="I451" s="117"/>
      <c r="J451" s="117"/>
      <c r="K451" s="117"/>
      <c r="L451" s="117"/>
      <c r="M451" s="117"/>
      <c r="N451" s="117"/>
      <c r="O451" s="117"/>
      <c r="P451" s="117"/>
      <c r="Q451" s="117"/>
      <c r="R451" s="117"/>
      <c r="S451" s="117"/>
      <c r="T451" s="117"/>
      <c r="U451" s="117"/>
      <c r="V451" s="117"/>
      <c r="W451" s="117"/>
      <c r="X451" s="117"/>
      <c r="Y451" s="117"/>
      <c r="Z451" s="117"/>
      <c r="AA451" s="117"/>
      <c r="AB451" s="117"/>
      <c r="AC451" s="117"/>
      <c r="AD451" s="117"/>
      <c r="AE451" s="117"/>
      <c r="AF451" s="117"/>
      <c r="AG451" s="117"/>
      <c r="AH451" s="117"/>
    </row>
    <row r="452" spans="1:34" s="161" customFormat="1" x14ac:dyDescent="0.2">
      <c r="A452" s="157"/>
      <c r="B452" s="274"/>
      <c r="C452" s="117"/>
      <c r="D452" s="117"/>
      <c r="E452" s="117"/>
      <c r="F452" s="117"/>
      <c r="G452" s="117"/>
      <c r="H452" s="160"/>
      <c r="I452" s="117"/>
      <c r="J452" s="117"/>
      <c r="K452" s="117"/>
      <c r="L452" s="117"/>
      <c r="M452" s="117"/>
      <c r="N452" s="117"/>
      <c r="O452" s="117"/>
      <c r="P452" s="117"/>
      <c r="Q452" s="117"/>
      <c r="R452" s="117"/>
      <c r="S452" s="117"/>
      <c r="T452" s="117"/>
      <c r="U452" s="117"/>
      <c r="V452" s="117"/>
      <c r="W452" s="117"/>
      <c r="X452" s="117"/>
      <c r="Y452" s="117"/>
      <c r="Z452" s="117"/>
      <c r="AA452" s="117"/>
      <c r="AB452" s="117"/>
      <c r="AC452" s="117"/>
      <c r="AD452" s="117"/>
      <c r="AE452" s="117"/>
      <c r="AF452" s="117"/>
      <c r="AG452" s="117"/>
      <c r="AH452" s="117"/>
    </row>
    <row r="453" spans="1:34" s="161" customFormat="1" x14ac:dyDescent="0.2">
      <c r="A453" s="157"/>
      <c r="B453" s="274"/>
      <c r="C453" s="117"/>
      <c r="D453" s="117"/>
      <c r="E453" s="117"/>
      <c r="F453" s="117"/>
      <c r="G453" s="117"/>
      <c r="H453" s="160"/>
      <c r="I453" s="117"/>
      <c r="J453" s="117"/>
      <c r="K453" s="117"/>
      <c r="L453" s="117"/>
      <c r="M453" s="117"/>
      <c r="N453" s="117"/>
      <c r="O453" s="117"/>
      <c r="P453" s="117"/>
      <c r="Q453" s="117"/>
      <c r="R453" s="117"/>
      <c r="S453" s="117"/>
      <c r="T453" s="117"/>
      <c r="U453" s="117"/>
      <c r="V453" s="117"/>
      <c r="W453" s="117"/>
      <c r="X453" s="117"/>
      <c r="Y453" s="117"/>
      <c r="Z453" s="117"/>
      <c r="AA453" s="117"/>
      <c r="AB453" s="117"/>
      <c r="AC453" s="117"/>
      <c r="AD453" s="117"/>
      <c r="AE453" s="117"/>
      <c r="AF453" s="117"/>
      <c r="AG453" s="117"/>
      <c r="AH453" s="117"/>
    </row>
    <row r="454" spans="1:34" s="161" customFormat="1" x14ac:dyDescent="0.2">
      <c r="A454" s="157"/>
      <c r="B454" s="274"/>
      <c r="C454" s="117"/>
      <c r="D454" s="117"/>
      <c r="E454" s="117"/>
      <c r="F454" s="117"/>
      <c r="G454" s="117"/>
      <c r="H454" s="160"/>
      <c r="I454" s="117"/>
      <c r="J454" s="117"/>
      <c r="K454" s="117"/>
      <c r="L454" s="117"/>
      <c r="M454" s="117"/>
      <c r="N454" s="117"/>
      <c r="O454" s="117"/>
      <c r="P454" s="117"/>
      <c r="Q454" s="117"/>
      <c r="R454" s="117"/>
      <c r="S454" s="117"/>
      <c r="T454" s="117"/>
      <c r="U454" s="117"/>
      <c r="V454" s="117"/>
      <c r="W454" s="117"/>
      <c r="X454" s="117"/>
      <c r="Y454" s="117"/>
      <c r="Z454" s="117"/>
      <c r="AA454" s="117"/>
      <c r="AB454" s="117"/>
      <c r="AC454" s="117"/>
      <c r="AD454" s="117"/>
      <c r="AE454" s="117"/>
      <c r="AF454" s="117"/>
      <c r="AG454" s="117"/>
      <c r="AH454" s="117"/>
    </row>
    <row r="455" spans="1:34" s="161" customFormat="1" x14ac:dyDescent="0.2">
      <c r="A455" s="157"/>
      <c r="B455" s="274"/>
      <c r="C455" s="117"/>
      <c r="D455" s="117"/>
      <c r="E455" s="117"/>
      <c r="F455" s="117"/>
      <c r="G455" s="117"/>
      <c r="H455" s="160"/>
      <c r="I455" s="117"/>
      <c r="J455" s="117"/>
      <c r="K455" s="117"/>
      <c r="L455" s="117"/>
      <c r="M455" s="117"/>
      <c r="N455" s="117"/>
      <c r="O455" s="117"/>
      <c r="P455" s="117"/>
      <c r="Q455" s="117"/>
      <c r="R455" s="117"/>
      <c r="S455" s="117"/>
      <c r="T455" s="117"/>
      <c r="U455" s="117"/>
      <c r="V455" s="117"/>
      <c r="W455" s="117"/>
      <c r="X455" s="117"/>
      <c r="Y455" s="117"/>
      <c r="Z455" s="117"/>
      <c r="AA455" s="117"/>
      <c r="AB455" s="117"/>
      <c r="AC455" s="117"/>
      <c r="AD455" s="117"/>
      <c r="AE455" s="117"/>
      <c r="AF455" s="117"/>
      <c r="AG455" s="117"/>
      <c r="AH455" s="117"/>
    </row>
    <row r="456" spans="1:34" s="161" customFormat="1" x14ac:dyDescent="0.2">
      <c r="A456" s="157"/>
      <c r="B456" s="274"/>
      <c r="C456" s="117"/>
      <c r="D456" s="117"/>
      <c r="E456" s="117"/>
      <c r="F456" s="117"/>
      <c r="G456" s="117"/>
      <c r="H456" s="160"/>
      <c r="I456" s="117"/>
      <c r="J456" s="117"/>
      <c r="K456" s="117"/>
      <c r="L456" s="117"/>
      <c r="M456" s="117"/>
      <c r="N456" s="117"/>
      <c r="O456" s="117"/>
      <c r="P456" s="117"/>
      <c r="Q456" s="117"/>
      <c r="R456" s="117"/>
      <c r="S456" s="117"/>
      <c r="T456" s="117"/>
      <c r="U456" s="117"/>
      <c r="V456" s="117"/>
      <c r="W456" s="117"/>
      <c r="X456" s="117"/>
      <c r="Y456" s="117"/>
      <c r="Z456" s="117"/>
      <c r="AA456" s="117"/>
      <c r="AB456" s="117"/>
      <c r="AC456" s="117"/>
      <c r="AD456" s="117"/>
      <c r="AE456" s="117"/>
      <c r="AF456" s="117"/>
      <c r="AG456" s="117"/>
      <c r="AH456" s="117"/>
    </row>
    <row r="457" spans="1:34" s="161" customFormat="1" x14ac:dyDescent="0.2">
      <c r="A457" s="157"/>
      <c r="B457" s="274"/>
      <c r="C457" s="117"/>
      <c r="D457" s="117"/>
      <c r="E457" s="117"/>
      <c r="F457" s="117"/>
      <c r="G457" s="117"/>
      <c r="H457" s="160"/>
      <c r="I457" s="117"/>
      <c r="J457" s="117"/>
      <c r="K457" s="117"/>
      <c r="L457" s="117"/>
      <c r="M457" s="117"/>
      <c r="N457" s="117"/>
      <c r="O457" s="117"/>
      <c r="P457" s="117"/>
      <c r="Q457" s="117"/>
      <c r="R457" s="117"/>
      <c r="S457" s="117"/>
      <c r="T457" s="117"/>
      <c r="U457" s="117"/>
      <c r="V457" s="117"/>
      <c r="W457" s="117"/>
      <c r="X457" s="117"/>
      <c r="Y457" s="117"/>
      <c r="Z457" s="117"/>
      <c r="AA457" s="117"/>
      <c r="AB457" s="117"/>
      <c r="AC457" s="117"/>
      <c r="AD457" s="117"/>
      <c r="AE457" s="117"/>
      <c r="AF457" s="117"/>
      <c r="AG457" s="117"/>
      <c r="AH457" s="117"/>
    </row>
    <row r="458" spans="1:34" s="161" customFormat="1" x14ac:dyDescent="0.2">
      <c r="A458" s="157"/>
      <c r="B458" s="274"/>
      <c r="C458" s="117"/>
      <c r="D458" s="117"/>
      <c r="E458" s="117"/>
      <c r="F458" s="117"/>
      <c r="G458" s="117"/>
      <c r="H458" s="160"/>
      <c r="I458" s="117"/>
      <c r="J458" s="117"/>
      <c r="K458" s="117"/>
      <c r="L458" s="117"/>
      <c r="M458" s="117"/>
      <c r="N458" s="117"/>
      <c r="O458" s="117"/>
      <c r="P458" s="117"/>
      <c r="Q458" s="117"/>
      <c r="R458" s="117"/>
      <c r="S458" s="117"/>
      <c r="T458" s="117"/>
      <c r="U458" s="117"/>
      <c r="V458" s="117"/>
      <c r="W458" s="117"/>
      <c r="X458" s="117"/>
      <c r="Y458" s="117"/>
      <c r="Z458" s="117"/>
      <c r="AA458" s="117"/>
      <c r="AB458" s="117"/>
      <c r="AC458" s="117"/>
      <c r="AD458" s="117"/>
      <c r="AE458" s="117"/>
      <c r="AF458" s="117"/>
      <c r="AG458" s="117"/>
      <c r="AH458" s="117"/>
    </row>
    <row r="459" spans="1:34" s="161" customFormat="1" x14ac:dyDescent="0.2">
      <c r="A459" s="157"/>
      <c r="B459" s="274"/>
      <c r="C459" s="117"/>
      <c r="D459" s="117"/>
      <c r="E459" s="117"/>
      <c r="F459" s="117"/>
      <c r="G459" s="117"/>
      <c r="H459" s="160"/>
      <c r="I459" s="117"/>
      <c r="J459" s="117"/>
      <c r="K459" s="117"/>
      <c r="L459" s="117"/>
      <c r="M459" s="117"/>
      <c r="N459" s="117"/>
      <c r="O459" s="117"/>
      <c r="P459" s="117"/>
      <c r="Q459" s="117"/>
      <c r="R459" s="117"/>
      <c r="S459" s="117"/>
      <c r="T459" s="117"/>
      <c r="U459" s="117"/>
      <c r="V459" s="117"/>
      <c r="W459" s="117"/>
      <c r="X459" s="117"/>
      <c r="Y459" s="117"/>
      <c r="Z459" s="117"/>
      <c r="AA459" s="117"/>
      <c r="AB459" s="117"/>
      <c r="AC459" s="117"/>
      <c r="AD459" s="117"/>
      <c r="AE459" s="117"/>
      <c r="AF459" s="117"/>
      <c r="AG459" s="117"/>
      <c r="AH459" s="117"/>
    </row>
    <row r="460" spans="1:34" s="161" customFormat="1" x14ac:dyDescent="0.2">
      <c r="A460" s="157"/>
      <c r="B460" s="274"/>
      <c r="C460" s="117"/>
      <c r="D460" s="117"/>
      <c r="E460" s="117"/>
      <c r="F460" s="117"/>
      <c r="G460" s="117"/>
      <c r="H460" s="160"/>
      <c r="I460" s="117"/>
      <c r="J460" s="117"/>
      <c r="K460" s="117"/>
      <c r="L460" s="117"/>
      <c r="M460" s="117"/>
      <c r="N460" s="117"/>
      <c r="O460" s="117"/>
      <c r="P460" s="117"/>
      <c r="Q460" s="117"/>
      <c r="R460" s="117"/>
      <c r="S460" s="117"/>
      <c r="T460" s="117"/>
      <c r="U460" s="117"/>
      <c r="V460" s="117"/>
      <c r="W460" s="117"/>
      <c r="X460" s="117"/>
      <c r="Y460" s="117"/>
      <c r="Z460" s="117"/>
      <c r="AA460" s="117"/>
      <c r="AB460" s="117"/>
      <c r="AC460" s="117"/>
      <c r="AD460" s="117"/>
      <c r="AE460" s="117"/>
      <c r="AF460" s="117"/>
      <c r="AG460" s="117"/>
      <c r="AH460" s="117"/>
    </row>
    <row r="461" spans="1:34" s="161" customFormat="1" x14ac:dyDescent="0.2">
      <c r="A461" s="157"/>
      <c r="B461" s="274"/>
      <c r="C461" s="117"/>
      <c r="D461" s="117"/>
      <c r="E461" s="117"/>
      <c r="F461" s="117"/>
      <c r="G461" s="117"/>
      <c r="H461" s="160"/>
      <c r="I461" s="117"/>
      <c r="J461" s="117"/>
      <c r="K461" s="117"/>
      <c r="L461" s="117"/>
      <c r="M461" s="117"/>
      <c r="N461" s="117"/>
      <c r="O461" s="117"/>
      <c r="P461" s="117"/>
      <c r="Q461" s="117"/>
      <c r="R461" s="117"/>
      <c r="S461" s="117"/>
      <c r="T461" s="117"/>
      <c r="U461" s="117"/>
      <c r="V461" s="117"/>
      <c r="W461" s="117"/>
      <c r="X461" s="117"/>
      <c r="Y461" s="117"/>
      <c r="Z461" s="117"/>
      <c r="AA461" s="117"/>
      <c r="AB461" s="117"/>
      <c r="AC461" s="117"/>
      <c r="AD461" s="117"/>
      <c r="AE461" s="117"/>
      <c r="AF461" s="117"/>
      <c r="AG461" s="117"/>
      <c r="AH461" s="117"/>
    </row>
    <row r="462" spans="1:34" s="161" customFormat="1" x14ac:dyDescent="0.2">
      <c r="A462" s="157"/>
      <c r="B462" s="274"/>
      <c r="C462" s="117"/>
      <c r="D462" s="117"/>
      <c r="E462" s="117"/>
      <c r="F462" s="117"/>
      <c r="G462" s="117"/>
      <c r="H462" s="160"/>
      <c r="I462" s="117"/>
      <c r="J462" s="117"/>
      <c r="K462" s="117"/>
      <c r="L462" s="117"/>
      <c r="M462" s="117"/>
      <c r="N462" s="117"/>
      <c r="O462" s="117"/>
      <c r="P462" s="117"/>
      <c r="Q462" s="117"/>
      <c r="R462" s="117"/>
      <c r="S462" s="117"/>
      <c r="T462" s="117"/>
      <c r="U462" s="117"/>
      <c r="V462" s="117"/>
      <c r="W462" s="117"/>
      <c r="X462" s="117"/>
      <c r="Y462" s="117"/>
      <c r="Z462" s="117"/>
      <c r="AA462" s="117"/>
      <c r="AB462" s="117"/>
      <c r="AC462" s="117"/>
      <c r="AD462" s="117"/>
      <c r="AE462" s="117"/>
      <c r="AF462" s="117"/>
      <c r="AG462" s="117"/>
      <c r="AH462" s="117"/>
    </row>
    <row r="463" spans="1:34" s="161" customFormat="1" x14ac:dyDescent="0.2">
      <c r="A463" s="157"/>
      <c r="B463" s="274"/>
      <c r="C463" s="117"/>
      <c r="D463" s="117"/>
      <c r="E463" s="117"/>
      <c r="F463" s="117"/>
      <c r="G463" s="117"/>
      <c r="H463" s="160"/>
      <c r="I463" s="117"/>
      <c r="J463" s="117"/>
      <c r="K463" s="117"/>
      <c r="L463" s="117"/>
      <c r="M463" s="117"/>
      <c r="N463" s="117"/>
      <c r="O463" s="117"/>
      <c r="P463" s="117"/>
      <c r="Q463" s="117"/>
      <c r="R463" s="117"/>
      <c r="S463" s="117"/>
      <c r="T463" s="117"/>
      <c r="U463" s="117"/>
      <c r="V463" s="117"/>
      <c r="W463" s="117"/>
      <c r="X463" s="117"/>
      <c r="Y463" s="117"/>
      <c r="Z463" s="117"/>
      <c r="AA463" s="117"/>
      <c r="AB463" s="117"/>
      <c r="AC463" s="117"/>
      <c r="AD463" s="117"/>
      <c r="AE463" s="117"/>
      <c r="AF463" s="117"/>
      <c r="AG463" s="117"/>
      <c r="AH463" s="117"/>
    </row>
    <row r="464" spans="1:34" s="161" customFormat="1" x14ac:dyDescent="0.2">
      <c r="A464" s="157"/>
      <c r="B464" s="274"/>
      <c r="C464" s="117"/>
      <c r="D464" s="117"/>
      <c r="E464" s="117"/>
      <c r="F464" s="117"/>
      <c r="G464" s="117"/>
      <c r="H464" s="160"/>
      <c r="I464" s="117"/>
      <c r="J464" s="117"/>
      <c r="K464" s="117"/>
      <c r="L464" s="117"/>
      <c r="M464" s="117"/>
      <c r="N464" s="117"/>
      <c r="O464" s="117"/>
      <c r="P464" s="117"/>
      <c r="Q464" s="117"/>
      <c r="R464" s="117"/>
      <c r="S464" s="117"/>
      <c r="T464" s="117"/>
      <c r="U464" s="117"/>
      <c r="V464" s="117"/>
      <c r="W464" s="117"/>
      <c r="X464" s="117"/>
      <c r="Y464" s="117"/>
      <c r="Z464" s="117"/>
      <c r="AA464" s="117"/>
      <c r="AB464" s="117"/>
      <c r="AC464" s="117"/>
      <c r="AD464" s="117"/>
      <c r="AE464" s="117"/>
      <c r="AF464" s="117"/>
      <c r="AG464" s="117"/>
      <c r="AH464" s="117"/>
    </row>
    <row r="465" spans="1:34" s="161" customFormat="1" x14ac:dyDescent="0.2">
      <c r="A465" s="157"/>
      <c r="B465" s="274"/>
      <c r="C465" s="117"/>
      <c r="D465" s="117"/>
      <c r="E465" s="117"/>
      <c r="F465" s="117"/>
      <c r="G465" s="117"/>
      <c r="H465" s="160"/>
      <c r="I465" s="117"/>
      <c r="J465" s="117"/>
      <c r="K465" s="117"/>
      <c r="L465" s="117"/>
      <c r="M465" s="117"/>
      <c r="N465" s="117"/>
      <c r="O465" s="117"/>
      <c r="P465" s="117"/>
      <c r="Q465" s="117"/>
      <c r="R465" s="117"/>
      <c r="S465" s="117"/>
      <c r="T465" s="117"/>
      <c r="U465" s="117"/>
      <c r="V465" s="117"/>
      <c r="W465" s="117"/>
      <c r="X465" s="117"/>
      <c r="Y465" s="117"/>
      <c r="Z465" s="117"/>
      <c r="AA465" s="117"/>
      <c r="AB465" s="117"/>
      <c r="AC465" s="117"/>
      <c r="AD465" s="117"/>
      <c r="AE465" s="117"/>
      <c r="AF465" s="117"/>
      <c r="AG465" s="117"/>
      <c r="AH465" s="117"/>
    </row>
    <row r="466" spans="1:34" s="161" customFormat="1" x14ac:dyDescent="0.2">
      <c r="A466" s="157"/>
      <c r="B466" s="274"/>
      <c r="C466" s="117"/>
      <c r="D466" s="117"/>
      <c r="E466" s="117"/>
      <c r="F466" s="117"/>
      <c r="G466" s="117"/>
      <c r="H466" s="160"/>
      <c r="I466" s="117"/>
      <c r="J466" s="117"/>
      <c r="K466" s="117"/>
      <c r="L466" s="117"/>
      <c r="M466" s="117"/>
      <c r="N466" s="117"/>
      <c r="O466" s="117"/>
      <c r="P466" s="117"/>
      <c r="Q466" s="117"/>
      <c r="R466" s="117"/>
      <c r="S466" s="117"/>
      <c r="T466" s="117"/>
      <c r="U466" s="117"/>
      <c r="V466" s="117"/>
      <c r="W466" s="117"/>
      <c r="X466" s="117"/>
      <c r="Y466" s="117"/>
      <c r="Z466" s="117"/>
      <c r="AA466" s="117"/>
      <c r="AB466" s="117"/>
      <c r="AC466" s="117"/>
      <c r="AD466" s="117"/>
      <c r="AE466" s="117"/>
      <c r="AF466" s="117"/>
      <c r="AG466" s="117"/>
      <c r="AH466" s="117"/>
    </row>
    <row r="467" spans="1:34" s="161" customFormat="1" x14ac:dyDescent="0.2">
      <c r="A467" s="157"/>
      <c r="B467" s="274"/>
      <c r="C467" s="117"/>
      <c r="D467" s="117"/>
      <c r="E467" s="117"/>
      <c r="F467" s="117"/>
      <c r="G467" s="117"/>
      <c r="H467" s="160"/>
      <c r="I467" s="117"/>
      <c r="J467" s="117"/>
      <c r="K467" s="117"/>
      <c r="L467" s="117"/>
      <c r="M467" s="117"/>
      <c r="N467" s="117"/>
      <c r="O467" s="117"/>
      <c r="P467" s="117"/>
      <c r="Q467" s="117"/>
      <c r="R467" s="117"/>
      <c r="S467" s="117"/>
      <c r="T467" s="117"/>
      <c r="U467" s="117"/>
      <c r="V467" s="117"/>
      <c r="W467" s="117"/>
      <c r="X467" s="117"/>
      <c r="Y467" s="117"/>
      <c r="Z467" s="117"/>
      <c r="AA467" s="117"/>
      <c r="AB467" s="117"/>
      <c r="AC467" s="117"/>
      <c r="AD467" s="117"/>
      <c r="AE467" s="117"/>
      <c r="AF467" s="117"/>
      <c r="AG467" s="117"/>
      <c r="AH467" s="117"/>
    </row>
    <row r="468" spans="1:34" s="161" customFormat="1" x14ac:dyDescent="0.2">
      <c r="A468" s="157"/>
      <c r="B468" s="274"/>
      <c r="C468" s="117"/>
      <c r="D468" s="117"/>
      <c r="E468" s="117"/>
      <c r="F468" s="117"/>
      <c r="G468" s="117"/>
      <c r="H468" s="160"/>
      <c r="I468" s="117"/>
      <c r="J468" s="117"/>
      <c r="K468" s="117"/>
      <c r="L468" s="117"/>
      <c r="M468" s="117"/>
      <c r="N468" s="117"/>
      <c r="O468" s="117"/>
      <c r="P468" s="117"/>
      <c r="Q468" s="117"/>
      <c r="R468" s="117"/>
      <c r="S468" s="117"/>
      <c r="T468" s="117"/>
      <c r="U468" s="117"/>
      <c r="V468" s="117"/>
      <c r="W468" s="117"/>
      <c r="X468" s="117"/>
      <c r="Y468" s="117"/>
      <c r="Z468" s="117"/>
      <c r="AA468" s="117"/>
      <c r="AB468" s="117"/>
      <c r="AC468" s="117"/>
      <c r="AD468" s="117"/>
      <c r="AE468" s="117"/>
      <c r="AF468" s="117"/>
      <c r="AG468" s="117"/>
      <c r="AH468" s="117"/>
    </row>
    <row r="469" spans="1:34" s="161" customFormat="1" x14ac:dyDescent="0.2">
      <c r="A469" s="157"/>
      <c r="B469" s="274"/>
      <c r="C469" s="117"/>
      <c r="D469" s="117"/>
      <c r="E469" s="117"/>
      <c r="F469" s="117"/>
      <c r="G469" s="117"/>
      <c r="H469" s="160"/>
      <c r="I469" s="117"/>
      <c r="J469" s="117"/>
      <c r="K469" s="117"/>
      <c r="L469" s="117"/>
      <c r="M469" s="117"/>
      <c r="N469" s="117"/>
      <c r="O469" s="117"/>
      <c r="P469" s="117"/>
      <c r="Q469" s="117"/>
      <c r="R469" s="117"/>
      <c r="S469" s="117"/>
      <c r="T469" s="117"/>
      <c r="U469" s="117"/>
      <c r="V469" s="117"/>
      <c r="W469" s="117"/>
      <c r="X469" s="117"/>
      <c r="Y469" s="117"/>
      <c r="Z469" s="117"/>
      <c r="AA469" s="117"/>
      <c r="AB469" s="117"/>
      <c r="AC469" s="117"/>
      <c r="AD469" s="117"/>
      <c r="AE469" s="117"/>
      <c r="AF469" s="117"/>
      <c r="AG469" s="117"/>
      <c r="AH469" s="117"/>
    </row>
    <row r="470" spans="1:34" s="161" customFormat="1" x14ac:dyDescent="0.2">
      <c r="A470" s="157"/>
      <c r="B470" s="274"/>
      <c r="C470" s="117"/>
      <c r="D470" s="117"/>
      <c r="E470" s="117"/>
      <c r="F470" s="117"/>
      <c r="G470" s="117"/>
      <c r="H470" s="160"/>
      <c r="I470" s="117"/>
      <c r="J470" s="117"/>
      <c r="K470" s="117"/>
      <c r="L470" s="117"/>
      <c r="M470" s="117"/>
      <c r="N470" s="117"/>
      <c r="O470" s="117"/>
      <c r="P470" s="117"/>
      <c r="Q470" s="117"/>
      <c r="R470" s="117"/>
      <c r="S470" s="117"/>
      <c r="T470" s="117"/>
      <c r="U470" s="117"/>
      <c r="V470" s="117"/>
      <c r="W470" s="117"/>
      <c r="X470" s="117"/>
      <c r="Y470" s="117"/>
      <c r="Z470" s="117"/>
      <c r="AA470" s="117"/>
      <c r="AB470" s="117"/>
      <c r="AC470" s="117"/>
      <c r="AD470" s="117"/>
      <c r="AE470" s="117"/>
      <c r="AF470" s="117"/>
      <c r="AG470" s="117"/>
      <c r="AH470" s="117"/>
    </row>
    <row r="471" spans="1:34" s="161" customFormat="1" x14ac:dyDescent="0.2">
      <c r="A471" s="157"/>
      <c r="B471" s="274"/>
      <c r="C471" s="117"/>
      <c r="D471" s="117"/>
      <c r="E471" s="117"/>
      <c r="F471" s="117"/>
      <c r="G471" s="117"/>
      <c r="H471" s="160"/>
      <c r="I471" s="117"/>
      <c r="J471" s="117"/>
      <c r="K471" s="117"/>
      <c r="L471" s="117"/>
      <c r="M471" s="117"/>
      <c r="N471" s="117"/>
      <c r="O471" s="117"/>
      <c r="P471" s="117"/>
      <c r="Q471" s="117"/>
      <c r="R471" s="117"/>
      <c r="S471" s="117"/>
      <c r="T471" s="117"/>
      <c r="U471" s="117"/>
      <c r="V471" s="117"/>
      <c r="W471" s="117"/>
      <c r="X471" s="117"/>
      <c r="Y471" s="117"/>
      <c r="Z471" s="117"/>
      <c r="AA471" s="117"/>
      <c r="AB471" s="117"/>
      <c r="AC471" s="117"/>
      <c r="AD471" s="117"/>
      <c r="AE471" s="117"/>
      <c r="AF471" s="117"/>
      <c r="AG471" s="117"/>
      <c r="AH471" s="117"/>
    </row>
    <row r="472" spans="1:34" s="161" customFormat="1" x14ac:dyDescent="0.2">
      <c r="A472" s="157"/>
      <c r="B472" s="274"/>
      <c r="C472" s="117"/>
      <c r="D472" s="117"/>
      <c r="E472" s="117"/>
      <c r="F472" s="117"/>
      <c r="G472" s="117"/>
      <c r="H472" s="160"/>
      <c r="I472" s="117"/>
      <c r="J472" s="117"/>
      <c r="K472" s="117"/>
      <c r="L472" s="117"/>
      <c r="M472" s="117"/>
      <c r="N472" s="117"/>
      <c r="O472" s="117"/>
      <c r="P472" s="117"/>
      <c r="Q472" s="117"/>
      <c r="R472" s="117"/>
      <c r="S472" s="117"/>
      <c r="T472" s="117"/>
      <c r="U472" s="117"/>
      <c r="V472" s="117"/>
      <c r="W472" s="117"/>
      <c r="X472" s="117"/>
      <c r="Y472" s="117"/>
      <c r="Z472" s="117"/>
      <c r="AA472" s="117"/>
      <c r="AB472" s="117"/>
      <c r="AC472" s="117"/>
      <c r="AD472" s="117"/>
      <c r="AE472" s="117"/>
      <c r="AF472" s="117"/>
      <c r="AG472" s="117"/>
      <c r="AH472" s="117"/>
    </row>
    <row r="473" spans="1:34" s="161" customFormat="1" x14ac:dyDescent="0.2">
      <c r="A473" s="157"/>
      <c r="B473" s="274"/>
      <c r="C473" s="117"/>
      <c r="D473" s="117"/>
      <c r="E473" s="117"/>
      <c r="F473" s="117"/>
      <c r="G473" s="117"/>
      <c r="H473" s="160"/>
      <c r="I473" s="117"/>
      <c r="J473" s="117"/>
      <c r="K473" s="117"/>
      <c r="L473" s="117"/>
      <c r="M473" s="117"/>
      <c r="N473" s="117"/>
      <c r="O473" s="117"/>
      <c r="P473" s="117"/>
      <c r="Q473" s="117"/>
      <c r="R473" s="117"/>
      <c r="S473" s="117"/>
      <c r="T473" s="117"/>
      <c r="U473" s="117"/>
      <c r="V473" s="117"/>
      <c r="W473" s="117"/>
      <c r="X473" s="117"/>
      <c r="Y473" s="117"/>
      <c r="Z473" s="117"/>
      <c r="AA473" s="117"/>
      <c r="AB473" s="117"/>
      <c r="AC473" s="117"/>
      <c r="AD473" s="117"/>
      <c r="AE473" s="117"/>
      <c r="AF473" s="117"/>
      <c r="AG473" s="117"/>
      <c r="AH473" s="117"/>
    </row>
    <row r="474" spans="1:34" s="161" customFormat="1" x14ac:dyDescent="0.2">
      <c r="A474" s="157"/>
      <c r="B474" s="274"/>
      <c r="C474" s="117"/>
      <c r="D474" s="117"/>
      <c r="E474" s="117"/>
      <c r="F474" s="117"/>
      <c r="G474" s="117"/>
      <c r="H474" s="160"/>
      <c r="I474" s="117"/>
      <c r="J474" s="117"/>
      <c r="K474" s="117"/>
      <c r="L474" s="117"/>
      <c r="M474" s="117"/>
      <c r="N474" s="117"/>
      <c r="O474" s="117"/>
      <c r="P474" s="117"/>
      <c r="Q474" s="117"/>
      <c r="R474" s="117"/>
      <c r="S474" s="117"/>
      <c r="T474" s="117"/>
      <c r="U474" s="117"/>
      <c r="V474" s="117"/>
      <c r="W474" s="117"/>
      <c r="X474" s="117"/>
      <c r="Y474" s="117"/>
      <c r="Z474" s="117"/>
      <c r="AA474" s="117"/>
      <c r="AB474" s="117"/>
      <c r="AC474" s="117"/>
      <c r="AD474" s="117"/>
      <c r="AE474" s="117"/>
      <c r="AF474" s="117"/>
      <c r="AG474" s="117"/>
      <c r="AH474" s="117"/>
    </row>
    <row r="475" spans="1:34" s="161" customFormat="1" x14ac:dyDescent="0.2">
      <c r="A475" s="157"/>
      <c r="B475" s="274"/>
      <c r="C475" s="117"/>
      <c r="D475" s="117"/>
      <c r="E475" s="117"/>
      <c r="F475" s="117"/>
      <c r="G475" s="117"/>
      <c r="H475" s="160"/>
      <c r="I475" s="117"/>
      <c r="J475" s="117"/>
      <c r="K475" s="117"/>
      <c r="L475" s="117"/>
      <c r="M475" s="117"/>
      <c r="N475" s="117"/>
      <c r="O475" s="117"/>
      <c r="P475" s="117"/>
      <c r="Q475" s="117"/>
      <c r="R475" s="117"/>
      <c r="S475" s="117"/>
      <c r="T475" s="117"/>
      <c r="U475" s="117"/>
      <c r="V475" s="117"/>
      <c r="W475" s="117"/>
      <c r="X475" s="117"/>
      <c r="Y475" s="117"/>
      <c r="Z475" s="117"/>
      <c r="AA475" s="117"/>
      <c r="AB475" s="117"/>
      <c r="AC475" s="117"/>
      <c r="AD475" s="117"/>
      <c r="AE475" s="117"/>
      <c r="AF475" s="117"/>
      <c r="AG475" s="117"/>
      <c r="AH475" s="117"/>
    </row>
    <row r="476" spans="1:34" s="161" customFormat="1" x14ac:dyDescent="0.2">
      <c r="A476" s="157"/>
      <c r="B476" s="274"/>
      <c r="C476" s="117"/>
      <c r="D476" s="117"/>
      <c r="E476" s="117"/>
      <c r="F476" s="117"/>
      <c r="G476" s="117"/>
      <c r="H476" s="160"/>
      <c r="I476" s="117"/>
      <c r="J476" s="117"/>
      <c r="K476" s="117"/>
      <c r="L476" s="117"/>
      <c r="M476" s="117"/>
      <c r="N476" s="117"/>
      <c r="O476" s="117"/>
      <c r="P476" s="117"/>
      <c r="Q476" s="117"/>
      <c r="R476" s="117"/>
      <c r="S476" s="117"/>
      <c r="T476" s="117"/>
      <c r="U476" s="117"/>
      <c r="V476" s="117"/>
      <c r="W476" s="117"/>
      <c r="X476" s="117"/>
      <c r="Y476" s="117"/>
      <c r="Z476" s="117"/>
      <c r="AA476" s="117"/>
      <c r="AB476" s="117"/>
      <c r="AC476" s="117"/>
      <c r="AD476" s="117"/>
      <c r="AE476" s="117"/>
      <c r="AF476" s="117"/>
      <c r="AG476" s="117"/>
      <c r="AH476" s="117"/>
    </row>
    <row r="477" spans="1:34" s="161" customFormat="1" x14ac:dyDescent="0.2">
      <c r="A477" s="157"/>
      <c r="B477" s="274"/>
      <c r="C477" s="117"/>
      <c r="D477" s="117"/>
      <c r="E477" s="117"/>
      <c r="F477" s="117"/>
      <c r="G477" s="117"/>
      <c r="H477" s="160"/>
      <c r="I477" s="117"/>
      <c r="J477" s="117"/>
      <c r="K477" s="117"/>
      <c r="L477" s="117"/>
      <c r="M477" s="117"/>
      <c r="N477" s="117"/>
      <c r="O477" s="117"/>
      <c r="P477" s="117"/>
      <c r="Q477" s="117"/>
      <c r="R477" s="117"/>
      <c r="S477" s="117"/>
      <c r="T477" s="117"/>
      <c r="U477" s="117"/>
      <c r="V477" s="117"/>
      <c r="W477" s="117"/>
      <c r="X477" s="117"/>
      <c r="Y477" s="117"/>
      <c r="Z477" s="117"/>
      <c r="AA477" s="117"/>
      <c r="AB477" s="117"/>
      <c r="AC477" s="117"/>
      <c r="AD477" s="117"/>
      <c r="AE477" s="117"/>
      <c r="AF477" s="117"/>
      <c r="AG477" s="117"/>
      <c r="AH477" s="117"/>
    </row>
    <row r="478" spans="1:34" s="161" customFormat="1" x14ac:dyDescent="0.2">
      <c r="A478" s="157"/>
      <c r="B478" s="274"/>
      <c r="C478" s="117"/>
      <c r="D478" s="117"/>
      <c r="E478" s="117"/>
      <c r="F478" s="117"/>
      <c r="G478" s="117"/>
      <c r="H478" s="160"/>
      <c r="I478" s="117"/>
      <c r="J478" s="117"/>
      <c r="K478" s="117"/>
      <c r="L478" s="117"/>
      <c r="M478" s="117"/>
      <c r="N478" s="117"/>
      <c r="O478" s="117"/>
      <c r="P478" s="117"/>
      <c r="Q478" s="117"/>
      <c r="R478" s="117"/>
      <c r="S478" s="117"/>
      <c r="T478" s="117"/>
      <c r="U478" s="117"/>
      <c r="V478" s="117"/>
      <c r="W478" s="117"/>
      <c r="X478" s="117"/>
      <c r="Y478" s="117"/>
      <c r="Z478" s="117"/>
      <c r="AA478" s="117"/>
      <c r="AB478" s="117"/>
      <c r="AC478" s="117"/>
      <c r="AD478" s="117"/>
      <c r="AE478" s="117"/>
      <c r="AF478" s="117"/>
      <c r="AG478" s="117"/>
      <c r="AH478" s="117"/>
    </row>
    <row r="479" spans="1:34" s="161" customFormat="1" x14ac:dyDescent="0.2">
      <c r="A479" s="157"/>
      <c r="B479" s="274"/>
      <c r="C479" s="117"/>
      <c r="D479" s="117"/>
      <c r="E479" s="117"/>
      <c r="F479" s="117"/>
      <c r="G479" s="117"/>
      <c r="H479" s="160"/>
      <c r="I479" s="117"/>
      <c r="J479" s="117"/>
      <c r="K479" s="117"/>
      <c r="L479" s="117"/>
      <c r="M479" s="117"/>
      <c r="N479" s="117"/>
      <c r="O479" s="117"/>
      <c r="P479" s="117"/>
      <c r="Q479" s="117"/>
      <c r="R479" s="117"/>
      <c r="S479" s="117"/>
      <c r="T479" s="117"/>
      <c r="U479" s="117"/>
      <c r="V479" s="117"/>
      <c r="W479" s="117"/>
      <c r="X479" s="117"/>
      <c r="Y479" s="117"/>
      <c r="Z479" s="117"/>
      <c r="AA479" s="117"/>
      <c r="AB479" s="117"/>
      <c r="AC479" s="117"/>
      <c r="AD479" s="117"/>
      <c r="AE479" s="117"/>
      <c r="AF479" s="117"/>
      <c r="AG479" s="117"/>
      <c r="AH479" s="117"/>
    </row>
    <row r="480" spans="1:34" s="161" customFormat="1" x14ac:dyDescent="0.2">
      <c r="A480" s="157"/>
      <c r="B480" s="274"/>
      <c r="C480" s="117"/>
      <c r="D480" s="117"/>
      <c r="E480" s="117"/>
      <c r="F480" s="117"/>
      <c r="G480" s="117"/>
      <c r="H480" s="160"/>
      <c r="I480" s="117"/>
      <c r="J480" s="117"/>
      <c r="K480" s="117"/>
      <c r="L480" s="117"/>
      <c r="M480" s="117"/>
      <c r="N480" s="117"/>
      <c r="O480" s="117"/>
      <c r="P480" s="117"/>
      <c r="Q480" s="117"/>
      <c r="R480" s="117"/>
      <c r="S480" s="117"/>
      <c r="T480" s="117"/>
      <c r="U480" s="117"/>
      <c r="V480" s="117"/>
      <c r="W480" s="117"/>
      <c r="X480" s="117"/>
      <c r="Y480" s="117"/>
      <c r="Z480" s="117"/>
      <c r="AA480" s="117"/>
      <c r="AB480" s="117"/>
      <c r="AC480" s="117"/>
      <c r="AD480" s="117"/>
      <c r="AE480" s="117"/>
      <c r="AF480" s="117"/>
      <c r="AG480" s="117"/>
      <c r="AH480" s="117"/>
    </row>
    <row r="481" spans="1:34" s="161" customFormat="1" x14ac:dyDescent="0.2">
      <c r="A481" s="157"/>
      <c r="B481" s="274"/>
      <c r="C481" s="117"/>
      <c r="D481" s="117"/>
      <c r="E481" s="117"/>
      <c r="F481" s="117"/>
      <c r="G481" s="117"/>
      <c r="H481" s="160"/>
      <c r="I481" s="117"/>
      <c r="J481" s="117"/>
      <c r="K481" s="117"/>
      <c r="L481" s="117"/>
      <c r="M481" s="117"/>
      <c r="N481" s="117"/>
      <c r="O481" s="117"/>
      <c r="P481" s="117"/>
      <c r="Q481" s="117"/>
      <c r="R481" s="117"/>
      <c r="S481" s="117"/>
      <c r="T481" s="117"/>
      <c r="U481" s="117"/>
      <c r="V481" s="117"/>
      <c r="W481" s="117"/>
      <c r="X481" s="117"/>
      <c r="Y481" s="117"/>
      <c r="Z481" s="117"/>
      <c r="AA481" s="117"/>
      <c r="AB481" s="117"/>
      <c r="AC481" s="117"/>
      <c r="AD481" s="117"/>
      <c r="AE481" s="117"/>
      <c r="AF481" s="117"/>
      <c r="AG481" s="117"/>
      <c r="AH481" s="117"/>
    </row>
    <row r="482" spans="1:34" s="161" customFormat="1" x14ac:dyDescent="0.2">
      <c r="A482" s="157"/>
      <c r="B482" s="274"/>
      <c r="C482" s="117"/>
      <c r="D482" s="117"/>
      <c r="E482" s="117"/>
      <c r="F482" s="117"/>
      <c r="G482" s="117"/>
      <c r="H482" s="160"/>
      <c r="I482" s="117"/>
      <c r="J482" s="117"/>
      <c r="K482" s="117"/>
      <c r="L482" s="117"/>
      <c r="M482" s="117"/>
      <c r="N482" s="117"/>
      <c r="O482" s="117"/>
      <c r="P482" s="117"/>
      <c r="Q482" s="117"/>
      <c r="R482" s="117"/>
      <c r="S482" s="117"/>
      <c r="T482" s="117"/>
      <c r="U482" s="117"/>
      <c r="V482" s="117"/>
      <c r="W482" s="117"/>
      <c r="X482" s="117"/>
      <c r="Y482" s="117"/>
      <c r="Z482" s="117"/>
      <c r="AA482" s="117"/>
      <c r="AB482" s="117"/>
      <c r="AC482" s="117"/>
      <c r="AD482" s="117"/>
      <c r="AE482" s="117"/>
      <c r="AF482" s="117"/>
      <c r="AG482" s="117"/>
      <c r="AH482" s="117"/>
    </row>
    <row r="483" spans="1:34" s="161" customFormat="1" x14ac:dyDescent="0.2">
      <c r="A483" s="157"/>
      <c r="B483" s="274"/>
      <c r="C483" s="117"/>
      <c r="D483" s="117"/>
      <c r="E483" s="117"/>
      <c r="F483" s="117"/>
      <c r="G483" s="117"/>
      <c r="H483" s="160"/>
      <c r="I483" s="117"/>
      <c r="J483" s="117"/>
      <c r="K483" s="117"/>
      <c r="L483" s="117"/>
      <c r="M483" s="117"/>
      <c r="N483" s="117"/>
      <c r="O483" s="117"/>
      <c r="P483" s="117"/>
      <c r="Q483" s="117"/>
      <c r="R483" s="117"/>
      <c r="S483" s="117"/>
      <c r="T483" s="117"/>
      <c r="U483" s="117"/>
      <c r="V483" s="117"/>
      <c r="W483" s="117"/>
      <c r="X483" s="117"/>
      <c r="Y483" s="117"/>
      <c r="Z483" s="117"/>
      <c r="AA483" s="117"/>
      <c r="AB483" s="117"/>
      <c r="AC483" s="117"/>
      <c r="AD483" s="117"/>
      <c r="AE483" s="117"/>
      <c r="AF483" s="117"/>
      <c r="AG483" s="117"/>
      <c r="AH483" s="117"/>
    </row>
    <row r="484" spans="1:34" s="161" customFormat="1" x14ac:dyDescent="0.2">
      <c r="A484" s="157"/>
      <c r="B484" s="274"/>
      <c r="C484" s="117"/>
      <c r="D484" s="117"/>
      <c r="E484" s="117"/>
      <c r="F484" s="117"/>
      <c r="G484" s="117"/>
      <c r="H484" s="160"/>
      <c r="I484" s="117"/>
      <c r="J484" s="117"/>
      <c r="K484" s="117"/>
      <c r="L484" s="117"/>
      <c r="M484" s="117"/>
      <c r="N484" s="117"/>
      <c r="O484" s="117"/>
      <c r="P484" s="117"/>
      <c r="Q484" s="117"/>
      <c r="R484" s="117"/>
      <c r="S484" s="117"/>
      <c r="T484" s="117"/>
      <c r="U484" s="117"/>
      <c r="V484" s="117"/>
      <c r="W484" s="117"/>
      <c r="X484" s="117"/>
      <c r="Y484" s="117"/>
      <c r="Z484" s="117"/>
      <c r="AA484" s="117"/>
      <c r="AB484" s="117"/>
      <c r="AC484" s="117"/>
      <c r="AD484" s="117"/>
      <c r="AE484" s="117"/>
      <c r="AF484" s="117"/>
      <c r="AG484" s="117"/>
      <c r="AH484" s="117"/>
    </row>
    <row r="485" spans="1:34" s="161" customFormat="1" x14ac:dyDescent="0.2">
      <c r="A485" s="157"/>
      <c r="B485" s="274"/>
      <c r="C485" s="117"/>
      <c r="D485" s="117"/>
      <c r="E485" s="117"/>
      <c r="F485" s="117"/>
      <c r="G485" s="117"/>
      <c r="H485" s="160"/>
      <c r="I485" s="117"/>
      <c r="J485" s="117"/>
      <c r="K485" s="117"/>
      <c r="L485" s="117"/>
      <c r="M485" s="117"/>
      <c r="N485" s="117"/>
      <c r="O485" s="117"/>
      <c r="P485" s="117"/>
      <c r="Q485" s="117"/>
      <c r="R485" s="117"/>
      <c r="S485" s="117"/>
      <c r="T485" s="117"/>
      <c r="U485" s="117"/>
      <c r="V485" s="117"/>
      <c r="W485" s="117"/>
      <c r="X485" s="117"/>
      <c r="Y485" s="117"/>
      <c r="Z485" s="117"/>
      <c r="AA485" s="117"/>
      <c r="AB485" s="117"/>
      <c r="AC485" s="117"/>
      <c r="AD485" s="117"/>
      <c r="AE485" s="117"/>
      <c r="AF485" s="117"/>
      <c r="AG485" s="117"/>
      <c r="AH485" s="117"/>
    </row>
    <row r="486" spans="1:34" s="161" customFormat="1" x14ac:dyDescent="0.2">
      <c r="A486" s="157"/>
      <c r="B486" s="274"/>
      <c r="C486" s="117"/>
      <c r="D486" s="117"/>
      <c r="E486" s="117"/>
      <c r="F486" s="117"/>
      <c r="G486" s="117"/>
      <c r="H486" s="160"/>
      <c r="I486" s="117"/>
      <c r="J486" s="117"/>
      <c r="K486" s="117"/>
      <c r="L486" s="117"/>
      <c r="M486" s="117"/>
      <c r="N486" s="117"/>
      <c r="O486" s="117"/>
      <c r="P486" s="117"/>
      <c r="Q486" s="117"/>
      <c r="R486" s="117"/>
      <c r="S486" s="117"/>
      <c r="T486" s="117"/>
      <c r="U486" s="117"/>
      <c r="V486" s="117"/>
      <c r="W486" s="117"/>
      <c r="X486" s="117"/>
      <c r="Y486" s="117"/>
      <c r="Z486" s="117"/>
      <c r="AA486" s="117"/>
      <c r="AB486" s="117"/>
      <c r="AC486" s="117"/>
      <c r="AD486" s="117"/>
      <c r="AE486" s="117"/>
      <c r="AF486" s="117"/>
      <c r="AG486" s="117"/>
      <c r="AH486" s="117"/>
    </row>
    <row r="487" spans="1:34" s="161" customFormat="1" x14ac:dyDescent="0.2">
      <c r="A487" s="157"/>
      <c r="B487" s="274"/>
      <c r="C487" s="117"/>
      <c r="D487" s="117"/>
      <c r="E487" s="117"/>
      <c r="F487" s="117"/>
      <c r="G487" s="117"/>
      <c r="H487" s="160"/>
      <c r="I487" s="117"/>
      <c r="J487" s="117"/>
      <c r="K487" s="117"/>
      <c r="L487" s="117"/>
      <c r="M487" s="117"/>
      <c r="N487" s="117"/>
      <c r="O487" s="117"/>
      <c r="P487" s="117"/>
      <c r="Q487" s="117"/>
      <c r="R487" s="117"/>
      <c r="S487" s="117"/>
      <c r="T487" s="117"/>
      <c r="U487" s="117"/>
      <c r="V487" s="117"/>
      <c r="W487" s="117"/>
      <c r="X487" s="117"/>
      <c r="Y487" s="117"/>
      <c r="Z487" s="117"/>
      <c r="AA487" s="117"/>
      <c r="AB487" s="117"/>
      <c r="AC487" s="117"/>
      <c r="AD487" s="117"/>
      <c r="AE487" s="117"/>
      <c r="AF487" s="117"/>
      <c r="AG487" s="117"/>
      <c r="AH487" s="117"/>
    </row>
    <row r="488" spans="1:34" s="161" customFormat="1" x14ac:dyDescent="0.2">
      <c r="A488" s="157"/>
      <c r="B488" s="274"/>
      <c r="C488" s="117"/>
      <c r="D488" s="117"/>
      <c r="E488" s="117"/>
      <c r="F488" s="117"/>
      <c r="G488" s="117"/>
      <c r="H488" s="160"/>
      <c r="I488" s="117"/>
      <c r="J488" s="117"/>
      <c r="K488" s="117"/>
      <c r="L488" s="117"/>
      <c r="M488" s="117"/>
      <c r="N488" s="117"/>
      <c r="O488" s="117"/>
      <c r="P488" s="117"/>
      <c r="Q488" s="117"/>
      <c r="R488" s="117"/>
      <c r="S488" s="117"/>
      <c r="T488" s="117"/>
      <c r="U488" s="117"/>
      <c r="V488" s="117"/>
      <c r="W488" s="117"/>
      <c r="X488" s="117"/>
      <c r="Y488" s="117"/>
      <c r="Z488" s="117"/>
      <c r="AA488" s="117"/>
      <c r="AB488" s="117"/>
      <c r="AC488" s="117"/>
      <c r="AD488" s="117"/>
      <c r="AE488" s="117"/>
      <c r="AF488" s="117"/>
      <c r="AG488" s="117"/>
      <c r="AH488" s="117"/>
    </row>
    <row r="489" spans="1:34" s="161" customFormat="1" x14ac:dyDescent="0.2">
      <c r="A489" s="157"/>
      <c r="B489" s="274"/>
      <c r="C489" s="117"/>
      <c r="D489" s="117"/>
      <c r="E489" s="117"/>
      <c r="F489" s="117"/>
      <c r="G489" s="117"/>
      <c r="H489" s="160"/>
      <c r="I489" s="117"/>
      <c r="J489" s="117"/>
      <c r="K489" s="117"/>
      <c r="L489" s="117"/>
      <c r="M489" s="117"/>
      <c r="N489" s="117"/>
      <c r="O489" s="117"/>
      <c r="P489" s="117"/>
      <c r="Q489" s="117"/>
      <c r="R489" s="117"/>
      <c r="S489" s="117"/>
      <c r="T489" s="117"/>
      <c r="U489" s="117"/>
      <c r="V489" s="117"/>
      <c r="W489" s="117"/>
      <c r="X489" s="117"/>
      <c r="Y489" s="117"/>
      <c r="Z489" s="117"/>
      <c r="AA489" s="117"/>
      <c r="AB489" s="117"/>
      <c r="AC489" s="117"/>
      <c r="AD489" s="117"/>
      <c r="AE489" s="117"/>
      <c r="AF489" s="117"/>
      <c r="AG489" s="117"/>
      <c r="AH489" s="117"/>
    </row>
    <row r="490" spans="1:34" s="161" customFormat="1" x14ac:dyDescent="0.2">
      <c r="A490" s="157"/>
      <c r="B490" s="274"/>
      <c r="C490" s="117"/>
      <c r="D490" s="117"/>
      <c r="E490" s="117"/>
      <c r="F490" s="117"/>
      <c r="G490" s="117"/>
      <c r="H490" s="160"/>
      <c r="I490" s="117"/>
      <c r="J490" s="117"/>
      <c r="K490" s="117"/>
      <c r="L490" s="117"/>
      <c r="M490" s="117"/>
      <c r="N490" s="117"/>
      <c r="O490" s="117"/>
      <c r="P490" s="117"/>
      <c r="Q490" s="117"/>
      <c r="R490" s="117"/>
      <c r="S490" s="117"/>
      <c r="T490" s="117"/>
      <c r="U490" s="117"/>
      <c r="V490" s="117"/>
      <c r="W490" s="117"/>
      <c r="X490" s="117"/>
      <c r="Y490" s="117"/>
      <c r="Z490" s="117"/>
      <c r="AA490" s="117"/>
      <c r="AB490" s="117"/>
      <c r="AC490" s="117"/>
      <c r="AD490" s="117"/>
      <c r="AE490" s="117"/>
      <c r="AF490" s="117"/>
      <c r="AG490" s="117"/>
      <c r="AH490" s="117"/>
    </row>
    <row r="491" spans="1:34" s="161" customFormat="1" x14ac:dyDescent="0.2">
      <c r="A491" s="157"/>
      <c r="B491" s="274"/>
      <c r="C491" s="117"/>
      <c r="D491" s="117"/>
      <c r="E491" s="117"/>
      <c r="F491" s="117"/>
      <c r="G491" s="117"/>
      <c r="H491" s="160"/>
      <c r="I491" s="117"/>
      <c r="J491" s="117"/>
      <c r="K491" s="117"/>
      <c r="L491" s="117"/>
      <c r="M491" s="117"/>
      <c r="N491" s="117"/>
      <c r="O491" s="117"/>
      <c r="P491" s="117"/>
      <c r="Q491" s="117"/>
      <c r="R491" s="117"/>
      <c r="S491" s="117"/>
      <c r="T491" s="117"/>
      <c r="U491" s="117"/>
      <c r="V491" s="117"/>
      <c r="W491" s="117"/>
      <c r="X491" s="117"/>
      <c r="Y491" s="117"/>
      <c r="Z491" s="117"/>
      <c r="AA491" s="117"/>
      <c r="AB491" s="117"/>
      <c r="AC491" s="117"/>
      <c r="AD491" s="117"/>
      <c r="AE491" s="117"/>
      <c r="AF491" s="117"/>
      <c r="AG491" s="117"/>
      <c r="AH491" s="117"/>
    </row>
    <row r="492" spans="1:34" s="161" customFormat="1" x14ac:dyDescent="0.2">
      <c r="A492" s="157"/>
      <c r="B492" s="274"/>
      <c r="C492" s="117"/>
      <c r="D492" s="117"/>
      <c r="E492" s="117"/>
      <c r="F492" s="117"/>
      <c r="G492" s="117"/>
      <c r="H492" s="160"/>
      <c r="I492" s="117"/>
      <c r="J492" s="117"/>
      <c r="K492" s="117"/>
      <c r="L492" s="117"/>
      <c r="M492" s="117"/>
      <c r="N492" s="117"/>
      <c r="O492" s="117"/>
      <c r="P492" s="117"/>
      <c r="Q492" s="117"/>
      <c r="R492" s="117"/>
      <c r="S492" s="117"/>
      <c r="T492" s="117"/>
      <c r="U492" s="117"/>
      <c r="V492" s="117"/>
      <c r="W492" s="117"/>
      <c r="X492" s="117"/>
      <c r="Y492" s="117"/>
      <c r="Z492" s="117"/>
      <c r="AA492" s="117"/>
      <c r="AB492" s="117"/>
      <c r="AC492" s="117"/>
      <c r="AD492" s="117"/>
      <c r="AE492" s="117"/>
      <c r="AF492" s="117"/>
      <c r="AG492" s="117"/>
      <c r="AH492" s="117"/>
    </row>
    <row r="493" spans="1:34" s="161" customFormat="1" x14ac:dyDescent="0.2">
      <c r="A493" s="157"/>
      <c r="B493" s="274"/>
      <c r="C493" s="117"/>
      <c r="D493" s="117"/>
      <c r="E493" s="117"/>
      <c r="F493" s="117"/>
      <c r="G493" s="117"/>
      <c r="H493" s="160"/>
      <c r="I493" s="117"/>
      <c r="J493" s="117"/>
      <c r="K493" s="117"/>
      <c r="L493" s="117"/>
      <c r="M493" s="117"/>
      <c r="N493" s="117"/>
      <c r="O493" s="117"/>
      <c r="P493" s="117"/>
      <c r="Q493" s="117"/>
      <c r="R493" s="117"/>
      <c r="S493" s="117"/>
      <c r="T493" s="117"/>
      <c r="U493" s="117"/>
      <c r="V493" s="117"/>
      <c r="W493" s="117"/>
      <c r="X493" s="117"/>
      <c r="Y493" s="117"/>
      <c r="Z493" s="117"/>
      <c r="AA493" s="117"/>
      <c r="AB493" s="117"/>
      <c r="AC493" s="117"/>
      <c r="AD493" s="117"/>
      <c r="AE493" s="117"/>
      <c r="AF493" s="117"/>
      <c r="AG493" s="117"/>
      <c r="AH493" s="117"/>
    </row>
    <row r="494" spans="1:34" s="161" customFormat="1" x14ac:dyDescent="0.2">
      <c r="A494" s="157"/>
      <c r="B494" s="274"/>
      <c r="C494" s="117"/>
      <c r="D494" s="117"/>
      <c r="E494" s="117"/>
      <c r="F494" s="117"/>
      <c r="G494" s="117"/>
      <c r="H494" s="160"/>
      <c r="I494" s="117"/>
      <c r="J494" s="117"/>
      <c r="K494" s="117"/>
      <c r="L494" s="117"/>
      <c r="M494" s="117"/>
      <c r="N494" s="117"/>
      <c r="O494" s="117"/>
      <c r="P494" s="117"/>
      <c r="Q494" s="117"/>
      <c r="R494" s="117"/>
      <c r="S494" s="117"/>
      <c r="T494" s="117"/>
      <c r="U494" s="117"/>
      <c r="V494" s="117"/>
      <c r="W494" s="117"/>
      <c r="X494" s="117"/>
      <c r="Y494" s="117"/>
      <c r="Z494" s="117"/>
      <c r="AA494" s="117"/>
      <c r="AB494" s="117"/>
      <c r="AC494" s="117"/>
      <c r="AD494" s="117"/>
      <c r="AE494" s="117"/>
      <c r="AF494" s="117"/>
      <c r="AG494" s="117"/>
      <c r="AH494" s="117"/>
    </row>
    <row r="495" spans="1:34" s="161" customFormat="1" x14ac:dyDescent="0.2">
      <c r="A495" s="157"/>
      <c r="B495" s="274"/>
      <c r="C495" s="117"/>
      <c r="D495" s="117"/>
      <c r="E495" s="117"/>
      <c r="F495" s="117"/>
      <c r="G495" s="117"/>
      <c r="H495" s="160"/>
      <c r="I495" s="117"/>
      <c r="J495" s="117"/>
      <c r="K495" s="117"/>
      <c r="L495" s="117"/>
      <c r="M495" s="117"/>
      <c r="N495" s="117"/>
      <c r="O495" s="117"/>
      <c r="P495" s="117"/>
      <c r="Q495" s="117"/>
      <c r="R495" s="117"/>
      <c r="S495" s="117"/>
      <c r="T495" s="117"/>
      <c r="U495" s="117"/>
      <c r="V495" s="117"/>
      <c r="W495" s="117"/>
      <c r="X495" s="117"/>
      <c r="Y495" s="117"/>
      <c r="Z495" s="117"/>
      <c r="AA495" s="117"/>
      <c r="AB495" s="117"/>
      <c r="AC495" s="117"/>
      <c r="AD495" s="117"/>
      <c r="AE495" s="117"/>
      <c r="AF495" s="117"/>
      <c r="AG495" s="117"/>
      <c r="AH495" s="117"/>
    </row>
    <row r="496" spans="1:34" s="161" customFormat="1" x14ac:dyDescent="0.2">
      <c r="A496" s="157"/>
      <c r="B496" s="274"/>
      <c r="C496" s="117"/>
      <c r="D496" s="117"/>
      <c r="E496" s="117"/>
      <c r="F496" s="117"/>
      <c r="G496" s="117"/>
      <c r="H496" s="160"/>
      <c r="I496" s="117"/>
      <c r="J496" s="117"/>
      <c r="K496" s="117"/>
      <c r="L496" s="117"/>
      <c r="M496" s="117"/>
      <c r="N496" s="117"/>
      <c r="O496" s="117"/>
      <c r="P496" s="117"/>
      <c r="Q496" s="117"/>
      <c r="R496" s="117"/>
      <c r="S496" s="117"/>
      <c r="T496" s="117"/>
      <c r="U496" s="117"/>
      <c r="V496" s="117"/>
      <c r="W496" s="117"/>
      <c r="X496" s="117"/>
      <c r="Y496" s="117"/>
      <c r="Z496" s="117"/>
      <c r="AA496" s="117"/>
      <c r="AB496" s="117"/>
      <c r="AC496" s="117"/>
      <c r="AD496" s="117"/>
      <c r="AE496" s="117"/>
      <c r="AF496" s="117"/>
      <c r="AG496" s="117"/>
      <c r="AH496" s="117"/>
    </row>
    <row r="497" spans="1:34" s="161" customFormat="1" x14ac:dyDescent="0.2">
      <c r="A497" s="157"/>
      <c r="B497" s="274"/>
      <c r="C497" s="117"/>
      <c r="D497" s="117"/>
      <c r="E497" s="117"/>
      <c r="F497" s="117"/>
      <c r="G497" s="117"/>
      <c r="H497" s="160"/>
      <c r="I497" s="117"/>
      <c r="J497" s="117"/>
      <c r="K497" s="117"/>
      <c r="L497" s="117"/>
      <c r="M497" s="117"/>
      <c r="N497" s="117"/>
      <c r="O497" s="117"/>
      <c r="P497" s="117"/>
      <c r="Q497" s="117"/>
      <c r="R497" s="117"/>
      <c r="S497" s="117"/>
      <c r="T497" s="117"/>
      <c r="U497" s="117"/>
      <c r="V497" s="117"/>
      <c r="W497" s="117"/>
      <c r="X497" s="117"/>
      <c r="Y497" s="117"/>
      <c r="Z497" s="117"/>
      <c r="AA497" s="117"/>
      <c r="AB497" s="117"/>
      <c r="AC497" s="117"/>
      <c r="AD497" s="117"/>
      <c r="AE497" s="117"/>
      <c r="AF497" s="117"/>
      <c r="AG497" s="117"/>
      <c r="AH497" s="117"/>
    </row>
    <row r="498" spans="1:34" s="161" customFormat="1" x14ac:dyDescent="0.2">
      <c r="A498" s="157"/>
      <c r="B498" s="274"/>
      <c r="C498" s="117"/>
      <c r="D498" s="117"/>
      <c r="E498" s="117"/>
      <c r="F498" s="117"/>
      <c r="G498" s="117"/>
      <c r="H498" s="160"/>
      <c r="I498" s="117"/>
      <c r="J498" s="117"/>
      <c r="K498" s="117"/>
      <c r="L498" s="117"/>
      <c r="M498" s="117"/>
      <c r="N498" s="117"/>
      <c r="O498" s="117"/>
      <c r="P498" s="117"/>
      <c r="Q498" s="117"/>
      <c r="R498" s="117"/>
      <c r="S498" s="117"/>
      <c r="T498" s="117"/>
      <c r="U498" s="117"/>
      <c r="V498" s="117"/>
      <c r="W498" s="117"/>
      <c r="X498" s="117"/>
      <c r="Y498" s="117"/>
      <c r="Z498" s="117"/>
      <c r="AA498" s="117"/>
      <c r="AB498" s="117"/>
      <c r="AC498" s="117"/>
      <c r="AD498" s="117"/>
      <c r="AE498" s="117"/>
      <c r="AF498" s="117"/>
      <c r="AG498" s="117"/>
      <c r="AH498" s="117"/>
    </row>
    <row r="499" spans="1:34" s="161" customFormat="1" x14ac:dyDescent="0.2">
      <c r="A499" s="157"/>
      <c r="B499" s="274"/>
      <c r="C499" s="117"/>
      <c r="D499" s="117"/>
      <c r="E499" s="117"/>
      <c r="F499" s="117"/>
      <c r="G499" s="117"/>
      <c r="H499" s="160"/>
      <c r="I499" s="117"/>
      <c r="J499" s="117"/>
      <c r="K499" s="117"/>
      <c r="L499" s="117"/>
      <c r="M499" s="117"/>
      <c r="N499" s="117"/>
      <c r="O499" s="117"/>
      <c r="P499" s="117"/>
      <c r="Q499" s="117"/>
      <c r="R499" s="117"/>
      <c r="S499" s="117"/>
      <c r="T499" s="117"/>
      <c r="U499" s="117"/>
      <c r="V499" s="117"/>
      <c r="W499" s="117"/>
      <c r="X499" s="117"/>
      <c r="Y499" s="117"/>
      <c r="Z499" s="117"/>
      <c r="AA499" s="117"/>
      <c r="AB499" s="117"/>
      <c r="AC499" s="117"/>
      <c r="AD499" s="117"/>
      <c r="AE499" s="117"/>
      <c r="AF499" s="117"/>
      <c r="AG499" s="117"/>
      <c r="AH499" s="117"/>
    </row>
    <row r="500" spans="1:34" s="161" customFormat="1" x14ac:dyDescent="0.2">
      <c r="A500" s="157"/>
      <c r="B500" s="274"/>
      <c r="C500" s="117"/>
      <c r="D500" s="117"/>
      <c r="E500" s="117"/>
      <c r="F500" s="117"/>
      <c r="G500" s="117"/>
      <c r="H500" s="160"/>
      <c r="I500" s="117"/>
      <c r="J500" s="117"/>
      <c r="K500" s="117"/>
      <c r="L500" s="117"/>
      <c r="M500" s="117"/>
      <c r="N500" s="117"/>
      <c r="O500" s="117"/>
      <c r="P500" s="117"/>
      <c r="Q500" s="117"/>
      <c r="R500" s="117"/>
      <c r="S500" s="117"/>
      <c r="T500" s="117"/>
      <c r="U500" s="117"/>
      <c r="V500" s="117"/>
      <c r="W500" s="117"/>
      <c r="X500" s="117"/>
      <c r="Y500" s="117"/>
      <c r="Z500" s="117"/>
      <c r="AA500" s="117"/>
      <c r="AB500" s="117"/>
      <c r="AC500" s="117"/>
      <c r="AD500" s="117"/>
      <c r="AE500" s="117"/>
      <c r="AF500" s="117"/>
      <c r="AG500" s="117"/>
      <c r="AH500" s="117"/>
    </row>
    <row r="501" spans="1:34" s="161" customFormat="1" x14ac:dyDescent="0.2">
      <c r="A501" s="157"/>
      <c r="B501" s="274"/>
      <c r="C501" s="117"/>
      <c r="D501" s="117"/>
      <c r="E501" s="117"/>
      <c r="F501" s="117"/>
      <c r="G501" s="117"/>
      <c r="H501" s="160"/>
      <c r="I501" s="117"/>
      <c r="J501" s="117"/>
      <c r="K501" s="117"/>
      <c r="L501" s="117"/>
      <c r="M501" s="117"/>
      <c r="N501" s="117"/>
      <c r="O501" s="117"/>
      <c r="P501" s="117"/>
      <c r="Q501" s="117"/>
      <c r="R501" s="117"/>
      <c r="S501" s="117"/>
      <c r="T501" s="117"/>
      <c r="U501" s="117"/>
      <c r="V501" s="117"/>
      <c r="W501" s="117"/>
      <c r="X501" s="117"/>
      <c r="Y501" s="117"/>
      <c r="Z501" s="117"/>
      <c r="AA501" s="117"/>
      <c r="AB501" s="117"/>
      <c r="AC501" s="117"/>
      <c r="AD501" s="117"/>
      <c r="AE501" s="117"/>
      <c r="AF501" s="117"/>
      <c r="AG501" s="117"/>
      <c r="AH501" s="117"/>
    </row>
    <row r="502" spans="1:34" s="161" customFormat="1" x14ac:dyDescent="0.2">
      <c r="A502" s="157"/>
      <c r="B502" s="274"/>
      <c r="C502" s="117"/>
      <c r="D502" s="117"/>
      <c r="E502" s="117"/>
      <c r="F502" s="117"/>
      <c r="G502" s="117"/>
      <c r="H502" s="160"/>
      <c r="I502" s="117"/>
      <c r="J502" s="117"/>
      <c r="K502" s="117"/>
      <c r="L502" s="117"/>
      <c r="M502" s="117"/>
      <c r="N502" s="117"/>
      <c r="O502" s="117"/>
      <c r="P502" s="117"/>
      <c r="Q502" s="117"/>
      <c r="R502" s="117"/>
      <c r="S502" s="117"/>
      <c r="T502" s="117"/>
      <c r="U502" s="117"/>
      <c r="V502" s="117"/>
      <c r="W502" s="117"/>
      <c r="X502" s="117"/>
      <c r="Y502" s="117"/>
      <c r="Z502" s="117"/>
      <c r="AA502" s="117"/>
      <c r="AB502" s="117"/>
      <c r="AC502" s="117"/>
      <c r="AD502" s="117"/>
      <c r="AE502" s="117"/>
      <c r="AF502" s="117"/>
      <c r="AG502" s="117"/>
      <c r="AH502" s="117"/>
    </row>
    <row r="503" spans="1:34" s="161" customFormat="1" x14ac:dyDescent="0.2">
      <c r="A503" s="157"/>
      <c r="B503" s="274"/>
      <c r="C503" s="117"/>
      <c r="D503" s="117"/>
      <c r="E503" s="117"/>
      <c r="F503" s="117"/>
      <c r="G503" s="117"/>
      <c r="H503" s="160"/>
      <c r="I503" s="117"/>
      <c r="J503" s="117"/>
      <c r="K503" s="117"/>
      <c r="L503" s="117"/>
      <c r="M503" s="117"/>
      <c r="N503" s="117"/>
      <c r="O503" s="117"/>
      <c r="P503" s="117"/>
      <c r="Q503" s="117"/>
      <c r="R503" s="117"/>
      <c r="S503" s="117"/>
      <c r="T503" s="117"/>
      <c r="U503" s="117"/>
      <c r="V503" s="117"/>
      <c r="W503" s="117"/>
      <c r="X503" s="117"/>
      <c r="Y503" s="117"/>
      <c r="Z503" s="117"/>
      <c r="AA503" s="117"/>
      <c r="AB503" s="117"/>
      <c r="AC503" s="117"/>
      <c r="AD503" s="117"/>
      <c r="AE503" s="117"/>
      <c r="AF503" s="117"/>
      <c r="AG503" s="117"/>
      <c r="AH503" s="117"/>
    </row>
    <row r="504" spans="1:34" s="161" customFormat="1" x14ac:dyDescent="0.2">
      <c r="A504" s="157"/>
      <c r="B504" s="274"/>
      <c r="C504" s="117"/>
      <c r="D504" s="117"/>
      <c r="E504" s="117"/>
      <c r="F504" s="117"/>
      <c r="G504" s="117"/>
      <c r="H504" s="160"/>
      <c r="I504" s="117"/>
      <c r="J504" s="117"/>
      <c r="K504" s="117"/>
      <c r="L504" s="117"/>
      <c r="M504" s="117"/>
      <c r="N504" s="117"/>
      <c r="O504" s="117"/>
      <c r="P504" s="117"/>
      <c r="Q504" s="117"/>
      <c r="R504" s="117"/>
      <c r="S504" s="117"/>
      <c r="T504" s="117"/>
      <c r="U504" s="117"/>
      <c r="V504" s="117"/>
      <c r="W504" s="117"/>
      <c r="X504" s="117"/>
      <c r="Y504" s="117"/>
      <c r="Z504" s="117"/>
      <c r="AA504" s="117"/>
      <c r="AB504" s="117"/>
      <c r="AC504" s="117"/>
      <c r="AD504" s="117"/>
      <c r="AE504" s="117"/>
      <c r="AF504" s="117"/>
      <c r="AG504" s="117"/>
      <c r="AH504" s="117"/>
    </row>
    <row r="505" spans="1:34" s="161" customFormat="1" x14ac:dyDescent="0.2">
      <c r="A505" s="157"/>
      <c r="B505" s="274"/>
      <c r="C505" s="117"/>
      <c r="D505" s="117"/>
      <c r="E505" s="117"/>
      <c r="F505" s="117"/>
      <c r="G505" s="117"/>
      <c r="H505" s="160"/>
      <c r="I505" s="117"/>
      <c r="J505" s="117"/>
      <c r="K505" s="117"/>
      <c r="L505" s="117"/>
      <c r="M505" s="117"/>
      <c r="N505" s="117"/>
      <c r="O505" s="117"/>
      <c r="P505" s="117"/>
      <c r="Q505" s="117"/>
      <c r="R505" s="117"/>
      <c r="S505" s="117"/>
      <c r="T505" s="117"/>
      <c r="U505" s="117"/>
      <c r="V505" s="117"/>
      <c r="W505" s="117"/>
      <c r="X505" s="117"/>
      <c r="Y505" s="117"/>
      <c r="Z505" s="117"/>
      <c r="AA505" s="117"/>
      <c r="AB505" s="117"/>
      <c r="AC505" s="117"/>
      <c r="AD505" s="117"/>
      <c r="AE505" s="117"/>
      <c r="AF505" s="117"/>
      <c r="AG505" s="117"/>
      <c r="AH505" s="117"/>
    </row>
    <row r="506" spans="1:34" s="161" customFormat="1" x14ac:dyDescent="0.2">
      <c r="A506" s="157"/>
      <c r="B506" s="274"/>
      <c r="C506" s="117"/>
      <c r="D506" s="117"/>
      <c r="E506" s="117"/>
      <c r="F506" s="117"/>
      <c r="G506" s="117"/>
      <c r="H506" s="160"/>
      <c r="I506" s="117"/>
      <c r="J506" s="117"/>
      <c r="K506" s="117"/>
      <c r="L506" s="117"/>
      <c r="M506" s="117"/>
      <c r="N506" s="117"/>
      <c r="O506" s="117"/>
      <c r="P506" s="117"/>
      <c r="Q506" s="117"/>
      <c r="R506" s="117"/>
      <c r="S506" s="117"/>
      <c r="T506" s="117"/>
      <c r="U506" s="117"/>
      <c r="V506" s="117"/>
      <c r="W506" s="117"/>
      <c r="X506" s="117"/>
      <c r="Y506" s="117"/>
      <c r="Z506" s="117"/>
      <c r="AA506" s="117"/>
      <c r="AB506" s="117"/>
      <c r="AC506" s="117"/>
      <c r="AD506" s="117"/>
      <c r="AE506" s="117"/>
      <c r="AF506" s="117"/>
      <c r="AG506" s="117"/>
      <c r="AH506" s="117"/>
    </row>
    <row r="507" spans="1:34" s="161" customFormat="1" x14ac:dyDescent="0.2">
      <c r="A507" s="157"/>
      <c r="B507" s="274"/>
      <c r="C507" s="117"/>
      <c r="D507" s="117"/>
      <c r="E507" s="117"/>
      <c r="F507" s="117"/>
      <c r="G507" s="117"/>
      <c r="H507" s="160"/>
      <c r="I507" s="117"/>
      <c r="J507" s="117"/>
      <c r="K507" s="117"/>
      <c r="L507" s="117"/>
      <c r="M507" s="117"/>
      <c r="N507" s="117"/>
      <c r="O507" s="117"/>
      <c r="P507" s="117"/>
      <c r="Q507" s="117"/>
      <c r="R507" s="117"/>
      <c r="S507" s="117"/>
      <c r="T507" s="117"/>
      <c r="U507" s="117"/>
      <c r="V507" s="117"/>
      <c r="W507" s="117"/>
      <c r="X507" s="117"/>
      <c r="Y507" s="117"/>
      <c r="Z507" s="117"/>
      <c r="AA507" s="117"/>
      <c r="AB507" s="117"/>
      <c r="AC507" s="117"/>
      <c r="AD507" s="117"/>
      <c r="AE507" s="117"/>
      <c r="AF507" s="117"/>
      <c r="AG507" s="117"/>
      <c r="AH507" s="117"/>
    </row>
    <row r="508" spans="1:34" s="161" customFormat="1" x14ac:dyDescent="0.2">
      <c r="A508" s="157"/>
      <c r="B508" s="274"/>
      <c r="C508" s="117"/>
      <c r="D508" s="117"/>
      <c r="E508" s="117"/>
      <c r="F508" s="117"/>
      <c r="G508" s="117"/>
      <c r="H508" s="160"/>
      <c r="I508" s="117"/>
      <c r="J508" s="117"/>
      <c r="K508" s="117"/>
      <c r="L508" s="117"/>
      <c r="M508" s="117"/>
      <c r="N508" s="117"/>
      <c r="O508" s="117"/>
      <c r="P508" s="117"/>
      <c r="Q508" s="117"/>
      <c r="R508" s="117"/>
      <c r="S508" s="117"/>
      <c r="T508" s="117"/>
      <c r="U508" s="117"/>
      <c r="V508" s="117"/>
      <c r="W508" s="117"/>
      <c r="X508" s="117"/>
      <c r="Y508" s="117"/>
      <c r="Z508" s="117"/>
      <c r="AA508" s="117"/>
      <c r="AB508" s="117"/>
      <c r="AC508" s="117"/>
      <c r="AD508" s="117"/>
      <c r="AE508" s="117"/>
      <c r="AF508" s="117"/>
      <c r="AG508" s="117"/>
      <c r="AH508" s="117"/>
    </row>
    <row r="509" spans="1:34" s="161" customFormat="1" x14ac:dyDescent="0.2">
      <c r="A509" s="157"/>
      <c r="B509" s="274"/>
      <c r="C509" s="117"/>
      <c r="D509" s="117"/>
      <c r="E509" s="117"/>
      <c r="F509" s="117"/>
      <c r="G509" s="117"/>
      <c r="H509" s="160"/>
      <c r="I509" s="117"/>
      <c r="J509" s="117"/>
      <c r="K509" s="117"/>
      <c r="L509" s="117"/>
      <c r="M509" s="117"/>
      <c r="N509" s="117"/>
      <c r="O509" s="117"/>
      <c r="P509" s="117"/>
      <c r="Q509" s="117"/>
      <c r="R509" s="117"/>
      <c r="S509" s="117"/>
      <c r="T509" s="117"/>
      <c r="U509" s="117"/>
      <c r="V509" s="117"/>
      <c r="W509" s="117"/>
      <c r="X509" s="117"/>
      <c r="Y509" s="117"/>
      <c r="Z509" s="117"/>
      <c r="AA509" s="117"/>
      <c r="AB509" s="117"/>
      <c r="AC509" s="117"/>
      <c r="AD509" s="117"/>
      <c r="AE509" s="117"/>
      <c r="AF509" s="117"/>
      <c r="AG509" s="117"/>
      <c r="AH509" s="117"/>
    </row>
    <row r="510" spans="1:34" s="161" customFormat="1" x14ac:dyDescent="0.2">
      <c r="A510" s="157"/>
      <c r="B510" s="274"/>
      <c r="C510" s="117"/>
      <c r="D510" s="117"/>
      <c r="E510" s="117"/>
      <c r="F510" s="117"/>
      <c r="G510" s="117"/>
      <c r="H510" s="160"/>
      <c r="I510" s="117"/>
      <c r="J510" s="117"/>
      <c r="K510" s="117"/>
      <c r="L510" s="117"/>
      <c r="M510" s="117"/>
      <c r="N510" s="117"/>
      <c r="O510" s="117"/>
      <c r="P510" s="117"/>
      <c r="Q510" s="117"/>
      <c r="R510" s="117"/>
      <c r="S510" s="117"/>
      <c r="T510" s="117"/>
      <c r="U510" s="117"/>
      <c r="V510" s="117"/>
      <c r="W510" s="117"/>
      <c r="X510" s="117"/>
      <c r="Y510" s="117"/>
      <c r="Z510" s="117"/>
      <c r="AA510" s="117"/>
      <c r="AB510" s="117"/>
      <c r="AC510" s="117"/>
      <c r="AD510" s="117"/>
      <c r="AE510" s="117"/>
      <c r="AF510" s="117"/>
      <c r="AG510" s="117"/>
      <c r="AH510" s="117"/>
    </row>
    <row r="511" spans="1:34" s="161" customFormat="1" x14ac:dyDescent="0.2">
      <c r="A511" s="157"/>
      <c r="B511" s="274"/>
      <c r="C511" s="117"/>
      <c r="D511" s="117"/>
      <c r="E511" s="117"/>
      <c r="F511" s="117"/>
      <c r="G511" s="117"/>
      <c r="H511" s="160"/>
      <c r="I511" s="117"/>
      <c r="J511" s="117"/>
      <c r="K511" s="117"/>
      <c r="L511" s="117"/>
      <c r="M511" s="117"/>
      <c r="N511" s="117"/>
      <c r="O511" s="117"/>
      <c r="P511" s="117"/>
      <c r="Q511" s="117"/>
      <c r="R511" s="117"/>
      <c r="S511" s="117"/>
      <c r="T511" s="117"/>
      <c r="U511" s="117"/>
      <c r="V511" s="117"/>
      <c r="W511" s="117"/>
      <c r="X511" s="117"/>
      <c r="Y511" s="117"/>
      <c r="Z511" s="117"/>
      <c r="AA511" s="117"/>
      <c r="AB511" s="117"/>
      <c r="AC511" s="117"/>
      <c r="AD511" s="117"/>
      <c r="AE511" s="117"/>
      <c r="AF511" s="117"/>
      <c r="AG511" s="117"/>
      <c r="AH511" s="117"/>
    </row>
    <row r="512" spans="1:34" s="161" customFormat="1" x14ac:dyDescent="0.2">
      <c r="A512" s="157"/>
      <c r="B512" s="274"/>
      <c r="C512" s="117"/>
      <c r="D512" s="117"/>
      <c r="E512" s="117"/>
      <c r="F512" s="117"/>
      <c r="G512" s="117"/>
      <c r="H512" s="160"/>
      <c r="I512" s="117"/>
      <c r="J512" s="117"/>
      <c r="K512" s="117"/>
      <c r="L512" s="117"/>
      <c r="M512" s="117"/>
      <c r="N512" s="117"/>
      <c r="O512" s="117"/>
      <c r="P512" s="117"/>
      <c r="Q512" s="117"/>
      <c r="R512" s="117"/>
      <c r="S512" s="117"/>
      <c r="T512" s="117"/>
      <c r="U512" s="117"/>
      <c r="V512" s="117"/>
      <c r="W512" s="117"/>
      <c r="X512" s="117"/>
      <c r="Y512" s="117"/>
      <c r="Z512" s="117"/>
      <c r="AA512" s="117"/>
      <c r="AB512" s="117"/>
      <c r="AC512" s="117"/>
      <c r="AD512" s="117"/>
      <c r="AE512" s="117"/>
      <c r="AF512" s="117"/>
      <c r="AG512" s="117"/>
      <c r="AH512" s="117"/>
    </row>
    <row r="513" spans="1:34" s="161" customFormat="1" x14ac:dyDescent="0.2">
      <c r="A513" s="157"/>
      <c r="B513" s="274"/>
      <c r="C513" s="117"/>
      <c r="D513" s="117"/>
      <c r="E513" s="117"/>
      <c r="F513" s="117"/>
      <c r="G513" s="117"/>
      <c r="H513" s="160"/>
      <c r="I513" s="117"/>
      <c r="J513" s="117"/>
      <c r="K513" s="117"/>
      <c r="L513" s="117"/>
      <c r="M513" s="117"/>
      <c r="N513" s="117"/>
      <c r="O513" s="117"/>
      <c r="P513" s="117"/>
      <c r="Q513" s="117"/>
      <c r="R513" s="117"/>
      <c r="S513" s="117"/>
      <c r="T513" s="117"/>
      <c r="U513" s="117"/>
      <c r="V513" s="117"/>
      <c r="W513" s="117"/>
      <c r="X513" s="117"/>
      <c r="Y513" s="117"/>
      <c r="Z513" s="117"/>
      <c r="AA513" s="117"/>
      <c r="AB513" s="117"/>
      <c r="AC513" s="117"/>
      <c r="AD513" s="117"/>
      <c r="AE513" s="117"/>
      <c r="AF513" s="117"/>
      <c r="AG513" s="117"/>
      <c r="AH513" s="117"/>
    </row>
    <row r="514" spans="1:34" s="161" customFormat="1" x14ac:dyDescent="0.2">
      <c r="A514" s="157"/>
      <c r="B514" s="274"/>
      <c r="C514" s="117"/>
      <c r="D514" s="117"/>
      <c r="E514" s="117"/>
      <c r="F514" s="117"/>
      <c r="G514" s="117"/>
      <c r="H514" s="160"/>
      <c r="I514" s="117"/>
      <c r="J514" s="117"/>
      <c r="K514" s="117"/>
      <c r="L514" s="117"/>
      <c r="M514" s="117"/>
      <c r="N514" s="117"/>
      <c r="O514" s="117"/>
      <c r="P514" s="117"/>
      <c r="Q514" s="117"/>
      <c r="R514" s="117"/>
      <c r="S514" s="117"/>
      <c r="T514" s="117"/>
      <c r="U514" s="117"/>
      <c r="V514" s="117"/>
      <c r="W514" s="117"/>
      <c r="X514" s="117"/>
      <c r="Y514" s="117"/>
      <c r="Z514" s="117"/>
      <c r="AA514" s="117"/>
      <c r="AB514" s="117"/>
      <c r="AC514" s="117"/>
      <c r="AD514" s="117"/>
      <c r="AE514" s="117"/>
      <c r="AF514" s="117"/>
      <c r="AG514" s="117"/>
      <c r="AH514" s="117"/>
    </row>
    <row r="515" spans="1:34" s="161" customFormat="1" x14ac:dyDescent="0.2">
      <c r="A515" s="157"/>
      <c r="B515" s="274"/>
      <c r="C515" s="117"/>
      <c r="D515" s="117"/>
      <c r="E515" s="117"/>
      <c r="F515" s="117"/>
      <c r="G515" s="117"/>
      <c r="H515" s="160"/>
      <c r="I515" s="117"/>
      <c r="J515" s="117"/>
      <c r="K515" s="117"/>
      <c r="L515" s="117"/>
      <c r="M515" s="117"/>
      <c r="N515" s="117"/>
      <c r="O515" s="117"/>
      <c r="P515" s="117"/>
      <c r="Q515" s="117"/>
      <c r="R515" s="117"/>
      <c r="S515" s="117"/>
      <c r="T515" s="117"/>
      <c r="U515" s="117"/>
      <c r="V515" s="117"/>
      <c r="W515" s="117"/>
      <c r="X515" s="117"/>
      <c r="Y515" s="117"/>
      <c r="Z515" s="117"/>
      <c r="AA515" s="117"/>
      <c r="AB515" s="117"/>
      <c r="AC515" s="117"/>
      <c r="AD515" s="117"/>
      <c r="AE515" s="117"/>
      <c r="AF515" s="117"/>
      <c r="AG515" s="117"/>
      <c r="AH515" s="117"/>
    </row>
    <row r="516" spans="1:34" s="161" customFormat="1" x14ac:dyDescent="0.2">
      <c r="A516" s="157"/>
      <c r="B516" s="274"/>
      <c r="C516" s="117"/>
      <c r="D516" s="117"/>
      <c r="E516" s="117"/>
      <c r="F516" s="117"/>
      <c r="G516" s="117"/>
      <c r="H516" s="160"/>
      <c r="I516" s="117"/>
      <c r="J516" s="117"/>
      <c r="K516" s="117"/>
      <c r="L516" s="117"/>
      <c r="M516" s="117"/>
      <c r="N516" s="117"/>
      <c r="O516" s="117"/>
      <c r="P516" s="117"/>
      <c r="Q516" s="117"/>
      <c r="R516" s="117"/>
      <c r="S516" s="117"/>
      <c r="T516" s="117"/>
      <c r="U516" s="117"/>
      <c r="V516" s="117"/>
      <c r="W516" s="117"/>
      <c r="X516" s="117"/>
      <c r="Y516" s="117"/>
      <c r="Z516" s="117"/>
      <c r="AA516" s="117"/>
      <c r="AB516" s="117"/>
      <c r="AC516" s="117"/>
      <c r="AD516" s="117"/>
      <c r="AE516" s="117"/>
      <c r="AF516" s="117"/>
      <c r="AG516" s="117"/>
      <c r="AH516" s="117"/>
    </row>
    <row r="517" spans="1:34" s="161" customFormat="1" x14ac:dyDescent="0.2">
      <c r="A517" s="157"/>
      <c r="B517" s="274"/>
      <c r="C517" s="117"/>
      <c r="D517" s="117"/>
      <c r="E517" s="117"/>
      <c r="F517" s="117"/>
      <c r="G517" s="117"/>
      <c r="H517" s="160"/>
      <c r="I517" s="117"/>
      <c r="J517" s="117"/>
      <c r="K517" s="117"/>
      <c r="L517" s="117"/>
      <c r="M517" s="117"/>
      <c r="N517" s="117"/>
      <c r="O517" s="117"/>
      <c r="P517" s="117"/>
      <c r="Q517" s="117"/>
      <c r="R517" s="117"/>
      <c r="S517" s="117"/>
      <c r="T517" s="117"/>
      <c r="U517" s="117"/>
      <c r="V517" s="117"/>
      <c r="W517" s="117"/>
      <c r="X517" s="117"/>
      <c r="Y517" s="117"/>
      <c r="Z517" s="117"/>
      <c r="AA517" s="117"/>
      <c r="AB517" s="117"/>
      <c r="AC517" s="117"/>
      <c r="AD517" s="117"/>
      <c r="AE517" s="117"/>
      <c r="AF517" s="117"/>
      <c r="AG517" s="117"/>
      <c r="AH517" s="117"/>
    </row>
    <row r="518" spans="1:34" s="161" customFormat="1" x14ac:dyDescent="0.2">
      <c r="A518" s="157"/>
      <c r="B518" s="274"/>
      <c r="C518" s="117"/>
      <c r="D518" s="117"/>
      <c r="E518" s="117"/>
      <c r="F518" s="117"/>
      <c r="G518" s="117"/>
      <c r="H518" s="160"/>
      <c r="I518" s="117"/>
      <c r="J518" s="117"/>
      <c r="K518" s="117"/>
      <c r="L518" s="117"/>
      <c r="M518" s="117"/>
      <c r="N518" s="117"/>
      <c r="O518" s="117"/>
      <c r="P518" s="117"/>
      <c r="Q518" s="117"/>
      <c r="R518" s="117"/>
      <c r="S518" s="117"/>
      <c r="T518" s="117"/>
      <c r="U518" s="117"/>
      <c r="V518" s="117"/>
      <c r="W518" s="117"/>
      <c r="X518" s="117"/>
      <c r="Y518" s="117"/>
      <c r="Z518" s="117"/>
      <c r="AA518" s="117"/>
      <c r="AB518" s="117"/>
      <c r="AC518" s="117"/>
      <c r="AD518" s="117"/>
      <c r="AE518" s="117"/>
      <c r="AF518" s="117"/>
      <c r="AG518" s="117"/>
      <c r="AH518" s="117"/>
    </row>
    <row r="519" spans="1:34" s="161" customFormat="1" x14ac:dyDescent="0.2">
      <c r="A519" s="157"/>
      <c r="B519" s="274"/>
      <c r="C519" s="117"/>
      <c r="D519" s="117"/>
      <c r="E519" s="117"/>
      <c r="F519" s="117"/>
      <c r="G519" s="117"/>
      <c r="H519" s="160"/>
      <c r="I519" s="117"/>
      <c r="J519" s="117"/>
      <c r="K519" s="117"/>
      <c r="L519" s="117"/>
      <c r="M519" s="117"/>
      <c r="N519" s="117"/>
      <c r="O519" s="117"/>
      <c r="P519" s="117"/>
      <c r="Q519" s="117"/>
      <c r="R519" s="117"/>
      <c r="S519" s="117"/>
      <c r="T519" s="117"/>
      <c r="U519" s="117"/>
      <c r="V519" s="117"/>
      <c r="W519" s="117"/>
      <c r="X519" s="117"/>
      <c r="Y519" s="117"/>
      <c r="Z519" s="117"/>
      <c r="AA519" s="117"/>
      <c r="AB519" s="117"/>
      <c r="AC519" s="117"/>
      <c r="AD519" s="117"/>
      <c r="AE519" s="117"/>
      <c r="AF519" s="117"/>
      <c r="AG519" s="117"/>
      <c r="AH519" s="117"/>
    </row>
    <row r="520" spans="1:34" s="161" customFormat="1" x14ac:dyDescent="0.2">
      <c r="A520" s="157"/>
      <c r="B520" s="274"/>
      <c r="C520" s="117"/>
      <c r="D520" s="117"/>
      <c r="E520" s="117"/>
      <c r="F520" s="117"/>
      <c r="G520" s="117"/>
      <c r="H520" s="160"/>
      <c r="I520" s="117"/>
      <c r="J520" s="117"/>
      <c r="K520" s="117"/>
      <c r="L520" s="117"/>
      <c r="M520" s="117"/>
      <c r="N520" s="117"/>
      <c r="O520" s="117"/>
      <c r="P520" s="117"/>
      <c r="Q520" s="117"/>
      <c r="R520" s="117"/>
      <c r="S520" s="117"/>
      <c r="T520" s="117"/>
      <c r="U520" s="117"/>
      <c r="V520" s="117"/>
      <c r="W520" s="117"/>
      <c r="X520" s="117"/>
      <c r="Y520" s="117"/>
      <c r="Z520" s="117"/>
      <c r="AA520" s="117"/>
      <c r="AB520" s="117"/>
      <c r="AC520" s="117"/>
      <c r="AD520" s="117"/>
      <c r="AE520" s="117"/>
      <c r="AF520" s="117"/>
      <c r="AG520" s="117"/>
      <c r="AH520" s="117"/>
    </row>
    <row r="521" spans="1:34" s="161" customFormat="1" x14ac:dyDescent="0.2">
      <c r="A521" s="157"/>
      <c r="B521" s="274"/>
      <c r="C521" s="117"/>
      <c r="D521" s="117"/>
      <c r="E521" s="117"/>
      <c r="F521" s="117"/>
      <c r="G521" s="117"/>
      <c r="H521" s="160"/>
      <c r="I521" s="117"/>
      <c r="J521" s="117"/>
      <c r="K521" s="117"/>
      <c r="L521" s="117"/>
      <c r="M521" s="117"/>
      <c r="N521" s="117"/>
      <c r="O521" s="117"/>
      <c r="P521" s="117"/>
      <c r="Q521" s="117"/>
      <c r="R521" s="117"/>
      <c r="S521" s="117"/>
      <c r="T521" s="117"/>
      <c r="U521" s="117"/>
      <c r="V521" s="117"/>
      <c r="W521" s="117"/>
      <c r="X521" s="117"/>
      <c r="Y521" s="117"/>
      <c r="Z521" s="117"/>
      <c r="AA521" s="117"/>
      <c r="AB521" s="117"/>
      <c r="AC521" s="117"/>
      <c r="AD521" s="117"/>
      <c r="AE521" s="117"/>
      <c r="AF521" s="117"/>
      <c r="AG521" s="117"/>
      <c r="AH521" s="117"/>
    </row>
    <row r="522" spans="1:34" s="161" customFormat="1" x14ac:dyDescent="0.2">
      <c r="A522" s="157"/>
      <c r="B522" s="274"/>
      <c r="C522" s="117"/>
      <c r="D522" s="117"/>
      <c r="E522" s="117"/>
      <c r="F522" s="117"/>
      <c r="G522" s="117"/>
      <c r="H522" s="160"/>
      <c r="I522" s="117"/>
      <c r="J522" s="117"/>
      <c r="K522" s="117"/>
      <c r="L522" s="117"/>
      <c r="M522" s="117"/>
      <c r="N522" s="117"/>
      <c r="O522" s="117"/>
      <c r="P522" s="117"/>
      <c r="Q522" s="117"/>
      <c r="R522" s="117"/>
      <c r="S522" s="117"/>
      <c r="T522" s="117"/>
      <c r="U522" s="117"/>
      <c r="V522" s="117"/>
      <c r="W522" s="117"/>
      <c r="X522" s="117"/>
      <c r="Y522" s="117"/>
      <c r="Z522" s="117"/>
      <c r="AA522" s="117"/>
      <c r="AB522" s="117"/>
      <c r="AC522" s="117"/>
      <c r="AD522" s="117"/>
      <c r="AE522" s="117"/>
      <c r="AF522" s="117"/>
      <c r="AG522" s="117"/>
      <c r="AH522" s="117"/>
    </row>
    <row r="523" spans="1:34" s="161" customFormat="1" x14ac:dyDescent="0.2">
      <c r="A523" s="157"/>
      <c r="B523" s="274"/>
      <c r="C523" s="117"/>
      <c r="D523" s="117"/>
      <c r="E523" s="117"/>
      <c r="F523" s="117"/>
      <c r="G523" s="117"/>
      <c r="H523" s="160"/>
      <c r="I523" s="117"/>
      <c r="J523" s="117"/>
      <c r="K523" s="117"/>
      <c r="L523" s="117"/>
      <c r="M523" s="117"/>
      <c r="N523" s="117"/>
      <c r="O523" s="117"/>
      <c r="P523" s="117"/>
      <c r="Q523" s="117"/>
      <c r="R523" s="117"/>
      <c r="S523" s="117"/>
      <c r="T523" s="117"/>
      <c r="U523" s="117"/>
      <c r="V523" s="117"/>
      <c r="W523" s="117"/>
      <c r="X523" s="117"/>
      <c r="Y523" s="117"/>
      <c r="Z523" s="117"/>
      <c r="AA523" s="117"/>
      <c r="AB523" s="117"/>
      <c r="AC523" s="117"/>
      <c r="AD523" s="117"/>
      <c r="AE523" s="117"/>
      <c r="AF523" s="117"/>
      <c r="AG523" s="117"/>
      <c r="AH523" s="117"/>
    </row>
  </sheetData>
  <autoFilter ref="H1:H523" xr:uid="{00000000-0001-0000-0300-000000000000}"/>
  <mergeCells count="6">
    <mergeCell ref="AE2:AH2"/>
    <mergeCell ref="I2:U2"/>
    <mergeCell ref="X2:AA2"/>
    <mergeCell ref="C2:H2"/>
    <mergeCell ref="AB2:AD2"/>
    <mergeCell ref="V2:W2"/>
  </mergeCells>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E3FA6-C049-8749-BBE3-D4B2F8DCCDE3}">
  <dimension ref="A1:N253"/>
  <sheetViews>
    <sheetView zoomScale="81" workbookViewId="0">
      <selection activeCell="J31" sqref="J31"/>
    </sheetView>
  </sheetViews>
  <sheetFormatPr defaultColWidth="10.85546875" defaultRowHeight="15" x14ac:dyDescent="0.2"/>
  <cols>
    <col min="1" max="1" width="49" style="197" customWidth="1"/>
    <col min="2" max="2" width="43.42578125" style="197" customWidth="1"/>
    <col min="3" max="3" width="39.42578125" style="197" customWidth="1"/>
    <col min="4" max="4" width="33.5703125" style="197" customWidth="1"/>
    <col min="5" max="5" width="11.42578125" style="258" customWidth="1"/>
    <col min="6" max="6" width="41" style="258" customWidth="1"/>
    <col min="7" max="7" width="11" style="197" customWidth="1"/>
    <col min="8" max="8" width="24" style="197" customWidth="1"/>
    <col min="9" max="9" width="29.85546875" style="259" customWidth="1"/>
    <col min="10" max="10" width="37.140625" style="197" customWidth="1"/>
    <col min="11" max="11" width="14.42578125" style="258" customWidth="1"/>
    <col min="12" max="12" width="39.140625" style="197" customWidth="1"/>
    <col min="13" max="14" width="28.42578125" style="197" customWidth="1"/>
    <col min="15" max="16384" width="10.85546875" style="197"/>
  </cols>
  <sheetData>
    <row r="1" spans="1:14" ht="30.75" thickBot="1" x14ac:dyDescent="0.25">
      <c r="A1" s="191" t="s">
        <v>3269</v>
      </c>
      <c r="B1" s="192" t="s">
        <v>42</v>
      </c>
      <c r="C1" s="191" t="s">
        <v>3395</v>
      </c>
      <c r="D1" s="191" t="s">
        <v>58</v>
      </c>
      <c r="E1" s="193" t="s">
        <v>3396</v>
      </c>
      <c r="F1" s="193" t="s">
        <v>3397</v>
      </c>
      <c r="G1" s="194" t="s">
        <v>3398</v>
      </c>
      <c r="H1" s="194" t="s">
        <v>3399</v>
      </c>
      <c r="I1" s="195" t="s">
        <v>3400</v>
      </c>
      <c r="J1" s="193" t="s">
        <v>3401</v>
      </c>
      <c r="K1" s="196" t="s">
        <v>3402</v>
      </c>
      <c r="L1" s="194" t="s">
        <v>3403</v>
      </c>
      <c r="M1" s="194" t="s">
        <v>3404</v>
      </c>
      <c r="N1" s="194" t="s">
        <v>3405</v>
      </c>
    </row>
    <row r="2" spans="1:14" s="205" customFormat="1" ht="30" x14ac:dyDescent="0.2">
      <c r="A2" s="198" t="s">
        <v>3406</v>
      </c>
      <c r="B2" s="199"/>
      <c r="C2" s="200"/>
      <c r="D2" s="198"/>
      <c r="E2" s="201" t="s">
        <v>3407</v>
      </c>
      <c r="F2" s="201" t="s">
        <v>3408</v>
      </c>
      <c r="G2" s="200"/>
      <c r="H2" s="200"/>
      <c r="I2" s="202">
        <v>446683008</v>
      </c>
      <c r="J2" s="203" t="s">
        <v>3409</v>
      </c>
      <c r="K2" s="204"/>
      <c r="L2" s="200"/>
      <c r="M2" s="200"/>
      <c r="N2" s="200"/>
    </row>
    <row r="3" spans="1:14" s="214" customFormat="1" ht="30" x14ac:dyDescent="0.2">
      <c r="A3" s="206"/>
      <c r="B3" s="207"/>
      <c r="C3" s="208"/>
      <c r="D3" s="209"/>
      <c r="E3" s="210" t="s">
        <v>3410</v>
      </c>
      <c r="F3" s="210" t="s">
        <v>3411</v>
      </c>
      <c r="G3" s="208"/>
      <c r="H3" s="208"/>
      <c r="I3" s="211">
        <v>139361000146105</v>
      </c>
      <c r="J3" s="212" t="s">
        <v>3412</v>
      </c>
      <c r="K3" s="213"/>
      <c r="L3" s="208"/>
      <c r="M3" s="208"/>
      <c r="N3" s="208"/>
    </row>
    <row r="4" spans="1:14" s="219" customFormat="1" ht="30" x14ac:dyDescent="0.2">
      <c r="A4" s="198" t="s">
        <v>3314</v>
      </c>
      <c r="B4" s="215"/>
      <c r="C4" s="216"/>
      <c r="D4" s="216"/>
      <c r="E4" s="201" t="s">
        <v>3413</v>
      </c>
      <c r="F4" s="201" t="s">
        <v>3414</v>
      </c>
      <c r="G4" s="216"/>
      <c r="H4" s="216"/>
      <c r="I4" s="217">
        <v>241603006</v>
      </c>
      <c r="J4" s="201" t="s">
        <v>3415</v>
      </c>
      <c r="K4" s="218"/>
      <c r="L4" s="216"/>
      <c r="M4" s="216"/>
      <c r="N4" s="216"/>
    </row>
    <row r="5" spans="1:14" s="224" customFormat="1" ht="30" x14ac:dyDescent="0.2">
      <c r="A5" s="190"/>
      <c r="B5" s="220"/>
      <c r="C5" s="190"/>
      <c r="D5" s="190"/>
      <c r="E5" s="221" t="s">
        <v>3416</v>
      </c>
      <c r="F5" s="221" t="s">
        <v>3417</v>
      </c>
      <c r="G5" s="190"/>
      <c r="H5" s="190"/>
      <c r="I5" s="222">
        <v>702725003</v>
      </c>
      <c r="J5" s="221" t="s">
        <v>3418</v>
      </c>
      <c r="K5" s="223"/>
      <c r="L5" s="190"/>
      <c r="M5" s="190"/>
      <c r="N5" s="190"/>
    </row>
    <row r="6" spans="1:14" s="229" customFormat="1" ht="30" x14ac:dyDescent="0.2">
      <c r="A6" s="225"/>
      <c r="B6" s="226"/>
      <c r="C6" s="225"/>
      <c r="D6" s="225"/>
      <c r="E6" s="227" t="s">
        <v>3419</v>
      </c>
      <c r="F6" s="228" t="s">
        <v>3420</v>
      </c>
      <c r="H6" s="228"/>
      <c r="I6" s="230">
        <v>702724004</v>
      </c>
      <c r="J6" s="227" t="s">
        <v>3421</v>
      </c>
      <c r="K6" s="231"/>
      <c r="L6" s="228"/>
      <c r="M6" s="228"/>
      <c r="N6" s="228"/>
    </row>
    <row r="7" spans="1:14" s="219" customFormat="1" ht="146.44999999999999" customHeight="1" x14ac:dyDescent="0.2">
      <c r="A7" s="198" t="s">
        <v>3319</v>
      </c>
      <c r="B7" s="198"/>
      <c r="C7" s="198" t="s">
        <v>3320</v>
      </c>
      <c r="D7" s="216"/>
      <c r="E7" s="201" t="s">
        <v>3422</v>
      </c>
      <c r="F7" s="201" t="s">
        <v>3423</v>
      </c>
      <c r="G7" s="216" t="s">
        <v>3424</v>
      </c>
      <c r="H7" s="216" t="s">
        <v>3425</v>
      </c>
      <c r="I7" s="217">
        <v>393563007</v>
      </c>
      <c r="J7" s="216" t="s">
        <v>3426</v>
      </c>
      <c r="K7" s="218" t="s">
        <v>3427</v>
      </c>
      <c r="L7" s="216" t="s">
        <v>3428</v>
      </c>
      <c r="M7" s="216"/>
      <c r="N7" s="216"/>
    </row>
    <row r="8" spans="1:14" s="224" customFormat="1" ht="30" x14ac:dyDescent="0.2">
      <c r="A8" s="232"/>
      <c r="B8" s="190"/>
      <c r="C8" s="190"/>
      <c r="D8" s="190"/>
      <c r="E8" s="221" t="s">
        <v>3429</v>
      </c>
      <c r="F8" s="221" t="s">
        <v>3430</v>
      </c>
      <c r="G8" s="224" t="s">
        <v>3431</v>
      </c>
      <c r="H8" s="190" t="s">
        <v>3432</v>
      </c>
      <c r="I8" s="222">
        <v>404664002</v>
      </c>
      <c r="J8" s="190" t="s">
        <v>3433</v>
      </c>
      <c r="K8" s="221" t="s">
        <v>3434</v>
      </c>
      <c r="L8" s="190" t="s">
        <v>3435</v>
      </c>
      <c r="M8" s="190"/>
      <c r="N8" s="190"/>
    </row>
    <row r="9" spans="1:14" s="224" customFormat="1" ht="45" x14ac:dyDescent="0.2">
      <c r="A9" s="232"/>
      <c r="B9" s="190"/>
      <c r="C9" s="190"/>
      <c r="D9" s="190"/>
      <c r="E9" s="221" t="s">
        <v>3436</v>
      </c>
      <c r="F9" s="221" t="s">
        <v>3437</v>
      </c>
      <c r="G9" s="224" t="s">
        <v>3438</v>
      </c>
      <c r="H9" s="190" t="s">
        <v>3439</v>
      </c>
      <c r="I9" s="222">
        <v>276827001</v>
      </c>
      <c r="J9" s="190" t="s">
        <v>3440</v>
      </c>
      <c r="K9" s="221" t="s">
        <v>3441</v>
      </c>
      <c r="L9" s="190" t="s">
        <v>3442</v>
      </c>
      <c r="M9" s="190"/>
      <c r="N9" s="190"/>
    </row>
    <row r="10" spans="1:14" s="224" customFormat="1" ht="30" x14ac:dyDescent="0.2">
      <c r="A10" s="233"/>
      <c r="B10" s="232"/>
      <c r="C10" s="190"/>
      <c r="D10" s="190"/>
      <c r="E10" s="221" t="s">
        <v>3443</v>
      </c>
      <c r="F10" s="221" t="s">
        <v>3444</v>
      </c>
      <c r="G10" s="224" t="s">
        <v>3445</v>
      </c>
      <c r="H10" s="190" t="s">
        <v>3446</v>
      </c>
      <c r="I10" s="222">
        <v>424276002</v>
      </c>
      <c r="J10" s="190" t="s">
        <v>3447</v>
      </c>
      <c r="K10" s="218" t="s">
        <v>3427</v>
      </c>
      <c r="L10" s="216" t="s">
        <v>3428</v>
      </c>
      <c r="M10" s="190"/>
      <c r="N10" s="190"/>
    </row>
    <row r="11" spans="1:14" s="224" customFormat="1" ht="30" x14ac:dyDescent="0.2">
      <c r="A11" s="234"/>
      <c r="B11" s="190"/>
      <c r="C11" s="190"/>
      <c r="D11" s="190"/>
      <c r="E11" s="221" t="s">
        <v>3448</v>
      </c>
      <c r="F11" s="221" t="s">
        <v>3449</v>
      </c>
      <c r="G11" s="224" t="s">
        <v>3438</v>
      </c>
      <c r="H11" s="190" t="s">
        <v>3439</v>
      </c>
      <c r="I11" s="222">
        <v>276829003</v>
      </c>
      <c r="J11" s="190" t="s">
        <v>3450</v>
      </c>
      <c r="K11" s="221"/>
      <c r="L11" s="190"/>
      <c r="M11" s="190"/>
      <c r="N11" s="190"/>
    </row>
    <row r="12" spans="1:14" s="224" customFormat="1" ht="45" x14ac:dyDescent="0.2">
      <c r="A12" s="234"/>
      <c r="B12" s="190"/>
      <c r="C12" s="190"/>
      <c r="D12" s="190"/>
      <c r="E12" s="221" t="s">
        <v>3451</v>
      </c>
      <c r="F12" s="221" t="s">
        <v>3452</v>
      </c>
      <c r="G12" s="224" t="s">
        <v>3424</v>
      </c>
      <c r="H12" s="190" t="s">
        <v>3425</v>
      </c>
      <c r="I12" s="222">
        <v>276828006</v>
      </c>
      <c r="J12" s="190" t="s">
        <v>3453</v>
      </c>
      <c r="K12" s="221" t="s">
        <v>3454</v>
      </c>
      <c r="L12" s="190" t="s">
        <v>3455</v>
      </c>
      <c r="M12" s="190"/>
      <c r="N12" s="190"/>
    </row>
    <row r="13" spans="1:14" s="224" customFormat="1" ht="45" x14ac:dyDescent="0.2">
      <c r="A13" s="234"/>
      <c r="B13" s="190"/>
      <c r="C13" s="190"/>
      <c r="D13" s="190"/>
      <c r="E13" s="221" t="s">
        <v>3456</v>
      </c>
      <c r="F13" s="221" t="s">
        <v>3457</v>
      </c>
      <c r="G13" s="190" t="s">
        <v>3424</v>
      </c>
      <c r="H13" s="190" t="s">
        <v>3425</v>
      </c>
      <c r="I13" s="222">
        <v>254938000</v>
      </c>
      <c r="J13" s="190" t="s">
        <v>3458</v>
      </c>
      <c r="K13" s="221" t="s">
        <v>3459</v>
      </c>
      <c r="L13" s="190" t="s">
        <v>3460</v>
      </c>
      <c r="M13" s="190"/>
      <c r="N13" s="190"/>
    </row>
    <row r="14" spans="1:14" s="224" customFormat="1" ht="30" x14ac:dyDescent="0.2">
      <c r="A14" s="234"/>
      <c r="B14" s="190"/>
      <c r="C14" s="190"/>
      <c r="D14" s="190"/>
      <c r="E14" s="221" t="s">
        <v>3461</v>
      </c>
      <c r="F14" s="190" t="s">
        <v>3462</v>
      </c>
      <c r="G14" s="224" t="s">
        <v>3438</v>
      </c>
      <c r="H14" s="190" t="s">
        <v>3439</v>
      </c>
      <c r="I14" s="222">
        <v>254948003</v>
      </c>
      <c r="J14" s="190" t="s">
        <v>3463</v>
      </c>
      <c r="K14" s="221" t="s">
        <v>3464</v>
      </c>
      <c r="L14" s="190" t="s">
        <v>3465</v>
      </c>
      <c r="M14" s="190"/>
      <c r="N14" s="190"/>
    </row>
    <row r="15" spans="1:14" s="224" customFormat="1" ht="30" x14ac:dyDescent="0.2">
      <c r="A15" s="234"/>
      <c r="B15" s="190"/>
      <c r="C15" s="190"/>
      <c r="D15" s="190"/>
      <c r="E15" s="221" t="s">
        <v>3466</v>
      </c>
      <c r="F15" s="190" t="s">
        <v>3467</v>
      </c>
      <c r="G15" s="224" t="s">
        <v>3468</v>
      </c>
      <c r="H15" s="190" t="s">
        <v>3469</v>
      </c>
      <c r="I15" s="222">
        <v>255026000</v>
      </c>
      <c r="J15" s="190" t="s">
        <v>3470</v>
      </c>
      <c r="K15" s="221" t="s">
        <v>3471</v>
      </c>
      <c r="L15" s="190" t="s">
        <v>3472</v>
      </c>
      <c r="M15" s="190"/>
      <c r="N15" s="190"/>
    </row>
    <row r="16" spans="1:14" s="224" customFormat="1" ht="30" x14ac:dyDescent="0.2">
      <c r="A16" s="234"/>
      <c r="B16" s="190"/>
      <c r="C16" s="190"/>
      <c r="D16" s="190"/>
      <c r="E16" s="221" t="s">
        <v>3473</v>
      </c>
      <c r="F16" s="190" t="s">
        <v>3474</v>
      </c>
      <c r="G16" s="224" t="s">
        <v>3445</v>
      </c>
      <c r="H16" s="190" t="s">
        <v>3446</v>
      </c>
      <c r="I16" s="222">
        <v>107581000119103</v>
      </c>
      <c r="J16" s="190" t="s">
        <v>3475</v>
      </c>
      <c r="K16" s="221"/>
      <c r="L16" s="190"/>
      <c r="M16" s="190"/>
      <c r="N16" s="190"/>
    </row>
    <row r="17" spans="1:14" s="224" customFormat="1" ht="30" x14ac:dyDescent="0.2">
      <c r="A17" s="234"/>
      <c r="B17" s="190"/>
      <c r="C17" s="190"/>
      <c r="D17" s="190"/>
      <c r="E17" s="221" t="s">
        <v>3476</v>
      </c>
      <c r="F17" s="221" t="s">
        <v>3477</v>
      </c>
      <c r="G17" s="190" t="s">
        <v>3431</v>
      </c>
      <c r="H17" s="190" t="s">
        <v>3432</v>
      </c>
      <c r="I17" s="222">
        <v>254973003</v>
      </c>
      <c r="J17" s="190" t="s">
        <v>3478</v>
      </c>
      <c r="K17" s="221"/>
      <c r="L17" s="190"/>
      <c r="M17" s="190"/>
      <c r="N17" s="190"/>
    </row>
    <row r="18" spans="1:14" s="224" customFormat="1" ht="30" x14ac:dyDescent="0.2">
      <c r="A18" s="232"/>
      <c r="B18" s="232"/>
      <c r="C18" s="190"/>
      <c r="D18" s="190"/>
      <c r="E18" s="221" t="s">
        <v>3479</v>
      </c>
      <c r="F18" s="190" t="s">
        <v>3480</v>
      </c>
      <c r="G18" s="224" t="s">
        <v>3438</v>
      </c>
      <c r="H18" s="190" t="s">
        <v>3439</v>
      </c>
      <c r="I18" s="222">
        <v>370987005</v>
      </c>
      <c r="J18" s="190" t="s">
        <v>3481</v>
      </c>
      <c r="K18" s="221" t="s">
        <v>3464</v>
      </c>
      <c r="L18" s="190" t="s">
        <v>3465</v>
      </c>
      <c r="M18" s="190"/>
      <c r="N18" s="190"/>
    </row>
    <row r="19" spans="1:14" s="224" customFormat="1" ht="45" x14ac:dyDescent="0.2">
      <c r="A19" s="232"/>
      <c r="B19" s="234"/>
      <c r="C19" s="190"/>
      <c r="D19" s="190"/>
      <c r="E19" s="221" t="s">
        <v>3482</v>
      </c>
      <c r="F19" s="190" t="s">
        <v>3483</v>
      </c>
      <c r="G19" s="190" t="s">
        <v>3424</v>
      </c>
      <c r="H19" s="190" t="s">
        <v>3425</v>
      </c>
      <c r="I19" s="222">
        <v>277461004</v>
      </c>
      <c r="J19" s="190" t="s">
        <v>3484</v>
      </c>
      <c r="K19" s="221" t="s">
        <v>3454</v>
      </c>
      <c r="L19" s="190" t="s">
        <v>3455</v>
      </c>
      <c r="M19" s="190"/>
      <c r="N19" s="190"/>
    </row>
    <row r="20" spans="1:14" s="224" customFormat="1" ht="60" x14ac:dyDescent="0.2">
      <c r="A20" s="190"/>
      <c r="B20" s="234"/>
      <c r="C20" s="190"/>
      <c r="D20" s="221"/>
      <c r="E20" s="221" t="s">
        <v>3485</v>
      </c>
      <c r="F20" s="221" t="s">
        <v>3486</v>
      </c>
      <c r="G20" s="190" t="s">
        <v>3487</v>
      </c>
      <c r="H20" s="190" t="s">
        <v>3488</v>
      </c>
      <c r="I20" s="222">
        <v>18941000146101</v>
      </c>
      <c r="J20" s="190" t="s">
        <v>3489</v>
      </c>
      <c r="K20" s="218" t="s">
        <v>3427</v>
      </c>
      <c r="L20" s="216" t="s">
        <v>3428</v>
      </c>
      <c r="M20" s="190"/>
      <c r="N20" s="190"/>
    </row>
    <row r="21" spans="1:14" s="224" customFormat="1" x14ac:dyDescent="0.2">
      <c r="A21" s="232"/>
      <c r="B21" s="233"/>
      <c r="C21" s="190"/>
      <c r="D21" s="235"/>
      <c r="E21" s="221" t="s">
        <v>3490</v>
      </c>
      <c r="F21" s="221" t="s">
        <v>3491</v>
      </c>
      <c r="G21" s="190" t="s">
        <v>3492</v>
      </c>
      <c r="H21" s="190" t="s">
        <v>3493</v>
      </c>
      <c r="I21" s="222">
        <v>763865009</v>
      </c>
      <c r="J21" s="190" t="s">
        <v>3494</v>
      </c>
      <c r="K21" s="218" t="s">
        <v>3427</v>
      </c>
      <c r="L21" s="216" t="s">
        <v>3428</v>
      </c>
      <c r="M21" s="190"/>
      <c r="N21" s="190"/>
    </row>
    <row r="22" spans="1:14" s="229" customFormat="1" ht="30" x14ac:dyDescent="0.2">
      <c r="A22" s="236"/>
      <c r="B22" s="236"/>
      <c r="C22" s="228"/>
      <c r="D22" s="228"/>
      <c r="E22" s="210" t="s">
        <v>3495</v>
      </c>
      <c r="F22" s="228" t="s">
        <v>3496</v>
      </c>
      <c r="G22" s="229" t="s">
        <v>3497</v>
      </c>
      <c r="H22" s="228" t="s">
        <v>3498</v>
      </c>
      <c r="I22" s="237">
        <v>277507004</v>
      </c>
      <c r="J22" s="228" t="s">
        <v>3499</v>
      </c>
      <c r="K22" s="210"/>
      <c r="L22" s="228"/>
      <c r="M22" s="228"/>
      <c r="N22" s="228"/>
    </row>
    <row r="23" spans="1:14" ht="45" x14ac:dyDescent="0.2">
      <c r="A23" s="164" t="s">
        <v>3330</v>
      </c>
      <c r="B23" s="164"/>
      <c r="C23" s="238" t="s">
        <v>3500</v>
      </c>
      <c r="D23" s="238"/>
      <c r="E23" s="239" t="s">
        <v>3501</v>
      </c>
      <c r="F23" s="239" t="s">
        <v>3502</v>
      </c>
      <c r="G23" s="238"/>
      <c r="H23" s="238"/>
      <c r="I23" s="240"/>
      <c r="J23" s="238"/>
      <c r="K23" s="239"/>
      <c r="L23" s="238"/>
      <c r="M23" s="238"/>
      <c r="N23" s="238"/>
    </row>
    <row r="24" spans="1:14" s="219" customFormat="1" ht="60" x14ac:dyDescent="0.2">
      <c r="A24" s="198" t="s">
        <v>3355</v>
      </c>
      <c r="B24" s="241"/>
      <c r="C24" s="198" t="s">
        <v>3356</v>
      </c>
      <c r="D24" s="242" t="s">
        <v>3503</v>
      </c>
      <c r="E24" s="243" t="s">
        <v>3504</v>
      </c>
      <c r="F24" s="244"/>
      <c r="G24" s="242"/>
      <c r="H24" s="242"/>
      <c r="I24" s="245"/>
      <c r="J24" s="242"/>
      <c r="K24" s="244"/>
      <c r="L24" s="242"/>
      <c r="M24" s="242"/>
      <c r="N24" s="242"/>
    </row>
    <row r="25" spans="1:14" s="224" customFormat="1" ht="30" x14ac:dyDescent="0.2">
      <c r="A25" s="232"/>
      <c r="B25" s="234"/>
      <c r="C25" s="232"/>
      <c r="D25" s="190" t="s">
        <v>3505</v>
      </c>
      <c r="E25" s="221" t="s">
        <v>3506</v>
      </c>
      <c r="F25" s="221" t="s">
        <v>3507</v>
      </c>
      <c r="G25" s="190"/>
      <c r="H25" s="190"/>
      <c r="I25" s="222">
        <v>94331000146103</v>
      </c>
      <c r="J25" s="190" t="s">
        <v>3508</v>
      </c>
      <c r="K25" s="221"/>
      <c r="L25" s="190"/>
      <c r="M25" s="190"/>
      <c r="N25" s="190"/>
    </row>
    <row r="26" spans="1:14" s="224" customFormat="1" ht="30" x14ac:dyDescent="0.2">
      <c r="A26" s="232"/>
      <c r="B26" s="234"/>
      <c r="C26" s="232"/>
      <c r="D26" s="190" t="s">
        <v>3509</v>
      </c>
      <c r="E26" s="221" t="s">
        <v>3510</v>
      </c>
      <c r="F26" s="221" t="s">
        <v>3511</v>
      </c>
      <c r="G26" s="190"/>
      <c r="H26" s="190"/>
      <c r="I26" s="222">
        <v>67171000146109</v>
      </c>
      <c r="J26" s="190" t="s">
        <v>3512</v>
      </c>
      <c r="K26" s="221"/>
      <c r="L26" s="190"/>
      <c r="M26" s="190"/>
      <c r="N26" s="190"/>
    </row>
    <row r="27" spans="1:14" s="224" customFormat="1" ht="30" x14ac:dyDescent="0.2">
      <c r="A27" s="232"/>
      <c r="B27" s="234"/>
      <c r="C27" s="232"/>
      <c r="D27" s="190"/>
      <c r="E27" s="221" t="s">
        <v>3513</v>
      </c>
      <c r="F27" s="190" t="s">
        <v>3514</v>
      </c>
      <c r="H27" s="190"/>
      <c r="I27" s="259">
        <v>67161000146103</v>
      </c>
      <c r="J27" s="190" t="s">
        <v>3515</v>
      </c>
      <c r="K27" s="221"/>
      <c r="L27" s="190"/>
      <c r="M27" s="190"/>
      <c r="N27" s="190"/>
    </row>
    <row r="28" spans="1:14" s="224" customFormat="1" ht="30" x14ac:dyDescent="0.2">
      <c r="A28" s="232"/>
      <c r="B28" s="234"/>
      <c r="C28" s="232"/>
      <c r="D28" s="190"/>
      <c r="E28" s="221" t="s">
        <v>3516</v>
      </c>
      <c r="F28" s="221" t="s">
        <v>3517</v>
      </c>
      <c r="G28" s="190"/>
      <c r="H28" s="190"/>
      <c r="I28" s="222">
        <v>67171000146109</v>
      </c>
      <c r="J28" s="190" t="s">
        <v>3512</v>
      </c>
      <c r="K28" s="221"/>
      <c r="L28" s="190"/>
      <c r="M28" s="190"/>
      <c r="N28" s="190"/>
    </row>
    <row r="29" spans="1:14" s="224" customFormat="1" ht="30" x14ac:dyDescent="0.2">
      <c r="A29" s="232"/>
      <c r="B29" s="234"/>
      <c r="C29" s="232"/>
      <c r="D29" s="190"/>
      <c r="E29" s="221" t="s">
        <v>3518</v>
      </c>
      <c r="F29" s="190" t="s">
        <v>3519</v>
      </c>
      <c r="H29" s="190"/>
      <c r="I29" s="222">
        <v>67161000146103</v>
      </c>
      <c r="J29" s="190" t="s">
        <v>3515</v>
      </c>
      <c r="K29" s="221"/>
      <c r="L29" s="190"/>
      <c r="M29" s="190"/>
      <c r="N29" s="190"/>
    </row>
    <row r="30" spans="1:14" s="224" customFormat="1" ht="30" x14ac:dyDescent="0.2">
      <c r="A30" s="232"/>
      <c r="B30" s="234"/>
      <c r="C30" s="232"/>
      <c r="D30" s="190"/>
      <c r="E30" s="221" t="s">
        <v>3520</v>
      </c>
      <c r="F30" s="221" t="s">
        <v>3521</v>
      </c>
      <c r="G30" s="190"/>
      <c r="H30" s="190"/>
      <c r="I30" s="222">
        <v>75931000146105</v>
      </c>
      <c r="J30" s="190" t="s">
        <v>3522</v>
      </c>
      <c r="K30" s="221"/>
      <c r="L30" s="190"/>
      <c r="M30" s="190"/>
      <c r="N30" s="190"/>
    </row>
    <row r="31" spans="1:14" s="229" customFormat="1" ht="30" x14ac:dyDescent="0.2">
      <c r="A31" s="236"/>
      <c r="B31" s="246"/>
      <c r="C31" s="236"/>
      <c r="D31" s="228"/>
      <c r="E31" s="210" t="s">
        <v>3523</v>
      </c>
      <c r="F31" s="228" t="s">
        <v>3524</v>
      </c>
      <c r="H31" s="228"/>
      <c r="I31" s="237">
        <v>75931000146105</v>
      </c>
      <c r="J31" s="228" t="s">
        <v>3522</v>
      </c>
      <c r="K31" s="210"/>
      <c r="L31" s="228"/>
      <c r="M31" s="228"/>
      <c r="N31" s="228"/>
    </row>
    <row r="32" spans="1:14" s="247" customFormat="1" ht="30" x14ac:dyDescent="0.2">
      <c r="A32" s="247" t="s">
        <v>3360</v>
      </c>
      <c r="D32" s="248" t="s">
        <v>3505</v>
      </c>
      <c r="E32" s="249" t="s">
        <v>3506</v>
      </c>
      <c r="F32" s="249" t="s">
        <v>3507</v>
      </c>
      <c r="G32" s="164"/>
      <c r="I32" s="222">
        <v>94331000146103</v>
      </c>
      <c r="J32" s="190" t="s">
        <v>3508</v>
      </c>
      <c r="K32" s="250"/>
    </row>
    <row r="33" spans="1:14" ht="75" x14ac:dyDescent="0.2">
      <c r="A33" s="164" t="s">
        <v>3373</v>
      </c>
      <c r="B33" s="165"/>
      <c r="C33" s="238"/>
      <c r="D33" s="251" t="s">
        <v>3374</v>
      </c>
      <c r="E33" s="239"/>
      <c r="F33" s="239"/>
      <c r="G33" s="238"/>
      <c r="H33" s="238"/>
      <c r="I33" s="240"/>
      <c r="J33" s="238"/>
      <c r="K33" s="239"/>
      <c r="L33" s="238"/>
      <c r="M33" s="238"/>
      <c r="N33" s="238"/>
    </row>
    <row r="34" spans="1:14" ht="75" x14ac:dyDescent="0.2">
      <c r="A34" s="164" t="s">
        <v>3382</v>
      </c>
      <c r="B34" s="164"/>
      <c r="C34" s="238"/>
      <c r="D34" s="251" t="s">
        <v>3374</v>
      </c>
      <c r="E34" s="239"/>
      <c r="F34" s="239"/>
      <c r="G34" s="238"/>
      <c r="H34" s="238"/>
      <c r="I34" s="240"/>
      <c r="J34" s="238"/>
      <c r="K34" s="239"/>
      <c r="L34" s="238"/>
      <c r="M34" s="238"/>
      <c r="N34" s="238"/>
    </row>
    <row r="35" spans="1:14" x14ac:dyDescent="0.2">
      <c r="A35" s="165"/>
      <c r="B35" s="165"/>
      <c r="C35" s="238"/>
      <c r="D35" s="238"/>
      <c r="E35" s="239"/>
      <c r="F35" s="239"/>
      <c r="G35" s="238"/>
      <c r="H35" s="238"/>
      <c r="I35" s="240"/>
      <c r="J35" s="238"/>
      <c r="K35" s="239"/>
      <c r="L35" s="238"/>
      <c r="M35" s="238"/>
      <c r="N35" s="238"/>
    </row>
    <row r="36" spans="1:14" x14ac:dyDescent="0.2">
      <c r="A36" s="165"/>
      <c r="B36" s="238"/>
      <c r="C36" s="238"/>
      <c r="D36" s="238"/>
      <c r="E36" s="239"/>
      <c r="F36" s="239"/>
      <c r="G36" s="238"/>
      <c r="H36" s="238"/>
      <c r="I36" s="240"/>
      <c r="J36" s="238"/>
      <c r="K36" s="239"/>
      <c r="L36" s="238"/>
      <c r="M36" s="238"/>
      <c r="N36" s="238"/>
    </row>
    <row r="37" spans="1:14" x14ac:dyDescent="0.2">
      <c r="A37" s="165"/>
      <c r="B37" s="238"/>
      <c r="C37" s="238"/>
      <c r="D37" s="238"/>
      <c r="E37" s="239"/>
      <c r="F37" s="239"/>
      <c r="G37" s="238"/>
      <c r="H37" s="238"/>
      <c r="I37" s="240"/>
      <c r="J37" s="238"/>
      <c r="K37" s="239"/>
      <c r="L37" s="238"/>
      <c r="M37" s="238"/>
      <c r="N37" s="238"/>
    </row>
    <row r="38" spans="1:14" x14ac:dyDescent="0.2">
      <c r="A38" s="165"/>
      <c r="B38" s="238"/>
      <c r="C38" s="238"/>
      <c r="D38" s="238"/>
      <c r="E38" s="239"/>
      <c r="F38" s="239"/>
      <c r="G38" s="238"/>
      <c r="H38" s="238"/>
      <c r="I38" s="240"/>
      <c r="J38" s="238"/>
      <c r="K38" s="239"/>
      <c r="L38" s="238"/>
      <c r="M38" s="238"/>
      <c r="N38" s="238"/>
    </row>
    <row r="39" spans="1:14" x14ac:dyDescent="0.2">
      <c r="A39" s="165"/>
      <c r="B39" s="238"/>
      <c r="C39" s="238"/>
      <c r="D39" s="238"/>
      <c r="E39" s="239"/>
      <c r="F39" s="239"/>
      <c r="G39" s="238"/>
      <c r="H39" s="238"/>
      <c r="I39" s="240"/>
      <c r="J39" s="238"/>
      <c r="K39" s="239"/>
      <c r="L39" s="238"/>
      <c r="M39" s="238"/>
      <c r="N39" s="238"/>
    </row>
    <row r="40" spans="1:14" x14ac:dyDescent="0.2">
      <c r="A40" s="164"/>
      <c r="B40" s="164"/>
      <c r="C40" s="238"/>
      <c r="D40" s="238"/>
      <c r="E40" s="239"/>
      <c r="F40" s="239"/>
      <c r="G40" s="238"/>
      <c r="H40" s="238"/>
      <c r="I40" s="240"/>
      <c r="J40" s="238"/>
      <c r="K40" s="239"/>
      <c r="L40" s="238"/>
      <c r="M40" s="238"/>
      <c r="N40" s="238"/>
    </row>
    <row r="41" spans="1:14" x14ac:dyDescent="0.2">
      <c r="A41" s="165"/>
      <c r="B41" s="238"/>
      <c r="C41" s="238"/>
      <c r="D41" s="238"/>
      <c r="E41" s="239"/>
      <c r="F41" s="239"/>
      <c r="G41" s="238"/>
      <c r="H41" s="238"/>
      <c r="I41" s="240"/>
      <c r="J41" s="238"/>
      <c r="K41" s="239"/>
      <c r="L41" s="238"/>
      <c r="M41" s="238"/>
      <c r="N41" s="238"/>
    </row>
    <row r="42" spans="1:14" x14ac:dyDescent="0.2">
      <c r="A42" s="165"/>
      <c r="B42" s="238"/>
      <c r="C42" s="238"/>
      <c r="D42" s="238"/>
      <c r="E42" s="239"/>
      <c r="F42" s="239"/>
      <c r="G42" s="238"/>
      <c r="H42" s="238"/>
      <c r="I42" s="240"/>
      <c r="J42" s="238"/>
      <c r="K42" s="239"/>
      <c r="L42" s="238"/>
      <c r="M42" s="238"/>
      <c r="N42" s="238"/>
    </row>
    <row r="43" spans="1:14" x14ac:dyDescent="0.2">
      <c r="A43" s="165"/>
      <c r="B43" s="238"/>
      <c r="C43" s="238"/>
      <c r="D43" s="238"/>
      <c r="E43" s="239"/>
      <c r="F43" s="239"/>
      <c r="G43" s="238"/>
      <c r="H43" s="238"/>
      <c r="I43" s="240"/>
      <c r="J43" s="238"/>
      <c r="K43" s="239"/>
      <c r="L43" s="238"/>
      <c r="M43" s="238"/>
      <c r="N43" s="238"/>
    </row>
    <row r="44" spans="1:14" x14ac:dyDescent="0.2">
      <c r="A44" s="165"/>
      <c r="B44" s="238"/>
      <c r="C44" s="238"/>
      <c r="D44" s="238"/>
      <c r="E44" s="239"/>
      <c r="F44" s="239"/>
      <c r="G44" s="238"/>
      <c r="H44" s="238"/>
      <c r="I44" s="240"/>
      <c r="J44" s="238"/>
      <c r="K44" s="239"/>
      <c r="L44" s="238"/>
      <c r="M44" s="238"/>
      <c r="N44" s="238"/>
    </row>
    <row r="45" spans="1:14" x14ac:dyDescent="0.2">
      <c r="A45" s="165"/>
      <c r="B45" s="238"/>
      <c r="C45" s="238"/>
      <c r="D45" s="238"/>
      <c r="E45" s="239"/>
      <c r="F45" s="239"/>
      <c r="G45" s="238"/>
      <c r="H45" s="238"/>
      <c r="I45" s="240"/>
      <c r="J45" s="238"/>
      <c r="K45" s="239"/>
      <c r="L45" s="238"/>
      <c r="M45" s="238"/>
      <c r="N45" s="238"/>
    </row>
    <row r="46" spans="1:14" x14ac:dyDescent="0.2">
      <c r="A46" s="165"/>
      <c r="B46" s="238"/>
      <c r="C46" s="238"/>
      <c r="D46" s="238"/>
      <c r="E46" s="239"/>
      <c r="F46" s="239"/>
      <c r="G46" s="238"/>
      <c r="H46" s="238"/>
      <c r="I46" s="240"/>
      <c r="J46" s="238"/>
      <c r="K46" s="239"/>
      <c r="L46" s="238"/>
      <c r="M46" s="238"/>
      <c r="N46" s="238"/>
    </row>
    <row r="47" spans="1:14" x14ac:dyDescent="0.2">
      <c r="A47" s="165"/>
      <c r="B47" s="238"/>
      <c r="C47" s="238"/>
      <c r="D47" s="238"/>
      <c r="E47" s="239"/>
      <c r="F47" s="239"/>
      <c r="G47" s="238"/>
      <c r="H47" s="238"/>
      <c r="I47" s="240"/>
      <c r="J47" s="238"/>
      <c r="K47" s="239"/>
      <c r="L47" s="238"/>
      <c r="M47" s="238"/>
      <c r="N47" s="238"/>
    </row>
    <row r="48" spans="1:14" x14ac:dyDescent="0.2">
      <c r="A48" s="165"/>
      <c r="B48" s="238"/>
      <c r="C48" s="238"/>
      <c r="D48" s="238"/>
      <c r="E48" s="239"/>
      <c r="F48" s="239"/>
      <c r="G48" s="238"/>
      <c r="H48" s="238"/>
      <c r="I48" s="240"/>
      <c r="J48" s="238"/>
      <c r="K48" s="239"/>
      <c r="L48" s="238"/>
      <c r="M48" s="238"/>
      <c r="N48" s="238"/>
    </row>
    <row r="49" spans="1:14" x14ac:dyDescent="0.2">
      <c r="A49" s="165"/>
      <c r="B49" s="238"/>
      <c r="C49" s="238"/>
      <c r="D49" s="238"/>
      <c r="E49" s="239"/>
      <c r="F49" s="239"/>
      <c r="G49" s="238"/>
      <c r="H49" s="238"/>
      <c r="I49" s="240"/>
      <c r="J49" s="238"/>
      <c r="K49" s="239"/>
      <c r="L49" s="238"/>
      <c r="M49" s="238"/>
      <c r="N49" s="238"/>
    </row>
    <row r="50" spans="1:14" x14ac:dyDescent="0.2">
      <c r="A50" s="164"/>
      <c r="B50" s="164"/>
      <c r="C50" s="238"/>
      <c r="D50" s="238"/>
      <c r="E50" s="239"/>
      <c r="F50" s="239"/>
      <c r="G50" s="238"/>
      <c r="H50" s="238"/>
      <c r="I50" s="240"/>
      <c r="J50" s="238"/>
      <c r="K50" s="239"/>
      <c r="L50" s="238"/>
      <c r="M50" s="238"/>
      <c r="N50" s="238"/>
    </row>
    <row r="51" spans="1:14" x14ac:dyDescent="0.2">
      <c r="A51" s="164"/>
      <c r="B51" s="164"/>
      <c r="C51" s="238"/>
      <c r="D51" s="238"/>
      <c r="E51" s="239"/>
      <c r="F51" s="239"/>
      <c r="G51" s="238"/>
      <c r="H51" s="238"/>
      <c r="I51" s="240"/>
      <c r="J51" s="238"/>
      <c r="K51" s="239"/>
      <c r="L51" s="238"/>
      <c r="M51" s="238"/>
      <c r="N51" s="238"/>
    </row>
    <row r="52" spans="1:14" x14ac:dyDescent="0.2">
      <c r="A52" s="164"/>
      <c r="B52" s="164"/>
      <c r="C52" s="238"/>
      <c r="D52" s="238"/>
      <c r="E52" s="239"/>
      <c r="F52" s="239"/>
      <c r="G52" s="238"/>
      <c r="H52" s="238"/>
      <c r="I52" s="240"/>
      <c r="J52" s="238"/>
      <c r="K52" s="239"/>
      <c r="L52" s="238"/>
      <c r="M52" s="238"/>
      <c r="N52" s="238"/>
    </row>
    <row r="53" spans="1:14" x14ac:dyDescent="0.2">
      <c r="A53" s="165"/>
      <c r="B53" s="238"/>
      <c r="C53" s="238"/>
      <c r="D53" s="238"/>
      <c r="E53" s="239"/>
      <c r="F53" s="239"/>
      <c r="G53" s="238"/>
      <c r="H53" s="238"/>
      <c r="I53" s="240"/>
      <c r="J53" s="238"/>
      <c r="K53" s="239"/>
      <c r="L53" s="238"/>
      <c r="M53" s="238"/>
      <c r="N53" s="238"/>
    </row>
    <row r="54" spans="1:14" x14ac:dyDescent="0.2">
      <c r="A54" s="165"/>
      <c r="B54" s="238"/>
      <c r="C54" s="238"/>
      <c r="D54" s="238"/>
      <c r="E54" s="239"/>
      <c r="F54" s="239"/>
      <c r="G54" s="238"/>
      <c r="H54" s="238"/>
      <c r="I54" s="240"/>
      <c r="J54" s="238"/>
      <c r="K54" s="239"/>
      <c r="L54" s="238"/>
      <c r="M54" s="238"/>
      <c r="N54" s="238"/>
    </row>
    <row r="55" spans="1:14" x14ac:dyDescent="0.2">
      <c r="A55" s="164"/>
      <c r="B55" s="164"/>
      <c r="C55" s="238"/>
      <c r="D55" s="238"/>
      <c r="E55" s="239"/>
      <c r="F55" s="239"/>
      <c r="G55" s="238"/>
      <c r="H55" s="238"/>
      <c r="I55" s="240"/>
      <c r="J55" s="238"/>
      <c r="K55" s="239"/>
      <c r="L55" s="238"/>
      <c r="M55" s="238"/>
      <c r="N55" s="238"/>
    </row>
    <row r="56" spans="1:14" x14ac:dyDescent="0.2">
      <c r="A56" s="165"/>
      <c r="B56" s="238"/>
      <c r="C56" s="238"/>
      <c r="D56" s="238"/>
      <c r="E56" s="239"/>
      <c r="F56" s="239"/>
      <c r="G56" s="238"/>
      <c r="H56" s="238"/>
      <c r="I56" s="240"/>
      <c r="J56" s="238"/>
      <c r="K56" s="239"/>
      <c r="L56" s="238"/>
      <c r="M56" s="238"/>
      <c r="N56" s="238"/>
    </row>
    <row r="57" spans="1:14" x14ac:dyDescent="0.2">
      <c r="A57" s="165"/>
      <c r="B57" s="238"/>
      <c r="C57" s="238"/>
      <c r="D57" s="238"/>
      <c r="E57" s="239"/>
      <c r="F57" s="239"/>
      <c r="G57" s="238"/>
      <c r="H57" s="238"/>
      <c r="I57" s="240"/>
      <c r="J57" s="238"/>
      <c r="K57" s="239"/>
      <c r="L57" s="238"/>
      <c r="M57" s="238"/>
      <c r="N57" s="238"/>
    </row>
    <row r="58" spans="1:14" x14ac:dyDescent="0.2">
      <c r="A58" s="165"/>
      <c r="B58" s="238"/>
      <c r="C58" s="238"/>
      <c r="D58" s="238"/>
      <c r="E58" s="239"/>
      <c r="F58" s="239"/>
      <c r="G58" s="238"/>
      <c r="H58" s="238"/>
      <c r="I58" s="240"/>
      <c r="J58" s="238"/>
      <c r="K58" s="239"/>
      <c r="L58" s="238"/>
      <c r="M58" s="238"/>
      <c r="N58" s="238"/>
    </row>
    <row r="59" spans="1:14" x14ac:dyDescent="0.2">
      <c r="A59" s="164"/>
      <c r="B59" s="164"/>
      <c r="C59" s="238"/>
      <c r="D59" s="238"/>
      <c r="E59" s="239"/>
      <c r="F59" s="239"/>
      <c r="G59" s="238"/>
      <c r="H59" s="238"/>
      <c r="I59" s="240"/>
      <c r="J59" s="238"/>
      <c r="K59" s="239"/>
      <c r="L59" s="238"/>
      <c r="M59" s="238"/>
      <c r="N59" s="238"/>
    </row>
    <row r="60" spans="1:14" x14ac:dyDescent="0.2">
      <c r="A60" s="165"/>
      <c r="B60" s="238"/>
      <c r="C60" s="238"/>
      <c r="D60" s="238"/>
      <c r="E60" s="239"/>
      <c r="F60" s="239"/>
      <c r="G60" s="238"/>
      <c r="H60" s="238"/>
      <c r="I60" s="240"/>
      <c r="J60" s="238"/>
      <c r="K60" s="239"/>
      <c r="L60" s="238"/>
      <c r="M60" s="238"/>
      <c r="N60" s="238"/>
    </row>
    <row r="61" spans="1:14" x14ac:dyDescent="0.2">
      <c r="A61" s="165"/>
      <c r="B61" s="238"/>
      <c r="C61" s="238"/>
      <c r="D61" s="238"/>
      <c r="E61" s="239"/>
      <c r="F61" s="239"/>
      <c r="G61" s="238"/>
      <c r="H61" s="238"/>
      <c r="I61" s="240"/>
      <c r="J61" s="238"/>
      <c r="K61" s="239"/>
      <c r="L61" s="238"/>
      <c r="M61" s="238"/>
      <c r="N61" s="238"/>
    </row>
    <row r="62" spans="1:14" x14ac:dyDescent="0.2">
      <c r="A62" s="165"/>
      <c r="B62" s="238"/>
      <c r="C62" s="238"/>
      <c r="D62" s="238"/>
      <c r="E62" s="239"/>
      <c r="F62" s="239"/>
      <c r="G62" s="238"/>
      <c r="H62" s="238"/>
      <c r="I62" s="240"/>
      <c r="J62" s="238"/>
      <c r="K62" s="239"/>
      <c r="L62" s="238"/>
      <c r="M62" s="238"/>
      <c r="N62" s="238"/>
    </row>
    <row r="63" spans="1:14" x14ac:dyDescent="0.2">
      <c r="A63" s="165"/>
      <c r="B63" s="238"/>
      <c r="C63" s="238"/>
      <c r="D63" s="238"/>
      <c r="E63" s="239"/>
      <c r="F63" s="239"/>
      <c r="G63" s="238"/>
      <c r="H63" s="238"/>
      <c r="I63" s="240"/>
      <c r="J63" s="238"/>
      <c r="K63" s="239"/>
      <c r="L63" s="238"/>
      <c r="M63" s="238"/>
      <c r="N63" s="238"/>
    </row>
    <row r="64" spans="1:14" x14ac:dyDescent="0.2">
      <c r="A64" s="165"/>
      <c r="B64" s="238"/>
      <c r="C64" s="238"/>
      <c r="D64" s="238"/>
      <c r="E64" s="239"/>
      <c r="F64" s="239"/>
      <c r="G64" s="238"/>
      <c r="H64" s="238"/>
      <c r="I64" s="240"/>
      <c r="J64" s="238"/>
      <c r="K64" s="239"/>
      <c r="L64" s="238"/>
      <c r="M64" s="238"/>
      <c r="N64" s="238"/>
    </row>
    <row r="65" spans="1:14" x14ac:dyDescent="0.2">
      <c r="A65" s="165"/>
      <c r="B65" s="238"/>
      <c r="C65" s="238"/>
      <c r="D65" s="238"/>
      <c r="E65" s="239"/>
      <c r="F65" s="239"/>
      <c r="G65" s="238"/>
      <c r="H65" s="238"/>
      <c r="I65" s="240"/>
      <c r="J65" s="238"/>
      <c r="K65" s="239"/>
      <c r="L65" s="238"/>
      <c r="M65" s="238"/>
      <c r="N65" s="238"/>
    </row>
    <row r="66" spans="1:14" x14ac:dyDescent="0.2">
      <c r="A66" s="165"/>
      <c r="B66" s="238"/>
      <c r="C66" s="238"/>
      <c r="D66" s="238"/>
      <c r="E66" s="239"/>
      <c r="F66" s="239"/>
      <c r="G66" s="238"/>
      <c r="H66" s="238"/>
      <c r="I66" s="240"/>
      <c r="J66" s="238"/>
      <c r="K66" s="239"/>
      <c r="L66" s="238"/>
      <c r="M66" s="238"/>
      <c r="N66" s="238"/>
    </row>
    <row r="67" spans="1:14" x14ac:dyDescent="0.2">
      <c r="A67" s="164"/>
      <c r="B67" s="164"/>
      <c r="C67" s="238"/>
      <c r="D67" s="238"/>
      <c r="E67" s="239"/>
      <c r="F67" s="239"/>
      <c r="G67" s="238"/>
      <c r="H67" s="238"/>
      <c r="I67" s="240"/>
      <c r="J67" s="238"/>
      <c r="K67" s="239"/>
      <c r="L67" s="238"/>
      <c r="M67" s="238"/>
      <c r="N67" s="238"/>
    </row>
    <row r="68" spans="1:14" x14ac:dyDescent="0.2">
      <c r="A68" s="165"/>
      <c r="B68" s="238"/>
      <c r="C68" s="238"/>
      <c r="D68" s="238"/>
      <c r="E68" s="239"/>
      <c r="F68" s="239"/>
      <c r="G68" s="238"/>
      <c r="H68" s="238"/>
      <c r="I68" s="240"/>
      <c r="J68" s="238"/>
      <c r="K68" s="239"/>
      <c r="L68" s="238"/>
      <c r="M68" s="238"/>
      <c r="N68" s="238"/>
    </row>
    <row r="69" spans="1:14" x14ac:dyDescent="0.2">
      <c r="A69" s="165"/>
      <c r="B69" s="238"/>
      <c r="C69" s="238"/>
      <c r="D69" s="238"/>
      <c r="E69" s="239"/>
      <c r="F69" s="239"/>
      <c r="G69" s="238"/>
      <c r="H69" s="238"/>
      <c r="I69" s="240"/>
      <c r="J69" s="238"/>
      <c r="K69" s="239"/>
      <c r="L69" s="238"/>
      <c r="M69" s="238"/>
      <c r="N69" s="238"/>
    </row>
    <row r="70" spans="1:14" x14ac:dyDescent="0.2">
      <c r="A70" s="165"/>
      <c r="B70" s="238"/>
      <c r="C70" s="238"/>
      <c r="D70" s="238"/>
      <c r="E70" s="239"/>
      <c r="F70" s="239"/>
      <c r="G70" s="238"/>
      <c r="H70" s="238"/>
      <c r="I70" s="240"/>
      <c r="J70" s="238"/>
      <c r="K70" s="239"/>
      <c r="L70" s="238"/>
      <c r="M70" s="238"/>
      <c r="N70" s="238"/>
    </row>
    <row r="71" spans="1:14" x14ac:dyDescent="0.2">
      <c r="A71" s="164"/>
      <c r="B71" s="164"/>
      <c r="C71" s="238"/>
      <c r="D71" s="238"/>
      <c r="E71" s="252"/>
      <c r="F71" s="252"/>
      <c r="G71" s="253"/>
      <c r="H71" s="253"/>
      <c r="I71" s="254"/>
      <c r="J71" s="253"/>
      <c r="K71" s="252"/>
      <c r="L71" s="253"/>
      <c r="M71" s="253"/>
      <c r="N71" s="253"/>
    </row>
    <row r="72" spans="1:14" x14ac:dyDescent="0.2">
      <c r="A72" s="165"/>
      <c r="B72" s="238"/>
      <c r="C72" s="238"/>
      <c r="D72" s="238"/>
      <c r="E72" s="239"/>
      <c r="F72" s="239"/>
      <c r="G72" s="238"/>
      <c r="H72" s="238"/>
      <c r="I72" s="240"/>
      <c r="J72" s="238"/>
      <c r="K72" s="239"/>
      <c r="L72" s="238"/>
      <c r="M72" s="238"/>
      <c r="N72" s="238"/>
    </row>
    <row r="73" spans="1:14" x14ac:dyDescent="0.2">
      <c r="A73" s="164"/>
      <c r="B73" s="164"/>
      <c r="C73" s="238"/>
      <c r="D73" s="238"/>
      <c r="E73" s="239"/>
      <c r="F73" s="239"/>
      <c r="G73" s="238"/>
      <c r="H73" s="238"/>
      <c r="I73" s="240"/>
      <c r="J73" s="238"/>
      <c r="K73" s="239"/>
      <c r="L73" s="238"/>
      <c r="M73" s="238"/>
      <c r="N73" s="238"/>
    </row>
    <row r="74" spans="1:14" x14ac:dyDescent="0.2">
      <c r="A74" s="165"/>
      <c r="B74" s="238"/>
      <c r="C74" s="238"/>
      <c r="D74" s="238"/>
      <c r="E74" s="239"/>
      <c r="F74" s="239"/>
      <c r="G74" s="238"/>
      <c r="H74" s="238"/>
      <c r="I74" s="240"/>
      <c r="J74" s="238"/>
      <c r="K74" s="239"/>
      <c r="L74" s="238"/>
      <c r="M74" s="238"/>
      <c r="N74" s="238"/>
    </row>
    <row r="75" spans="1:14" x14ac:dyDescent="0.2">
      <c r="A75" s="164"/>
      <c r="B75" s="164"/>
      <c r="C75" s="238"/>
      <c r="D75" s="238"/>
      <c r="E75" s="239"/>
      <c r="F75" s="239"/>
      <c r="G75" s="238"/>
      <c r="H75" s="238"/>
      <c r="I75" s="240"/>
      <c r="J75" s="238"/>
      <c r="K75" s="239"/>
      <c r="L75" s="238"/>
      <c r="M75" s="238"/>
      <c r="N75" s="238"/>
    </row>
    <row r="76" spans="1:14" x14ac:dyDescent="0.2">
      <c r="A76" s="164"/>
      <c r="B76" s="164"/>
      <c r="C76" s="238"/>
      <c r="D76" s="238"/>
      <c r="E76" s="239"/>
      <c r="F76" s="239"/>
      <c r="G76" s="238"/>
      <c r="H76" s="238"/>
      <c r="I76" s="240"/>
      <c r="J76" s="238"/>
      <c r="K76" s="239"/>
      <c r="L76" s="238"/>
      <c r="M76" s="238"/>
      <c r="N76" s="238"/>
    </row>
    <row r="77" spans="1:14" x14ac:dyDescent="0.2">
      <c r="A77" s="165"/>
      <c r="B77" s="238"/>
      <c r="C77" s="238"/>
      <c r="D77" s="238"/>
      <c r="E77" s="239"/>
      <c r="F77" s="239"/>
      <c r="G77" s="238"/>
      <c r="H77" s="238"/>
      <c r="I77" s="240"/>
      <c r="J77" s="238"/>
      <c r="K77" s="239"/>
      <c r="L77" s="238"/>
      <c r="M77" s="238"/>
      <c r="N77" s="238"/>
    </row>
    <row r="78" spans="1:14" x14ac:dyDescent="0.2">
      <c r="A78" s="165"/>
      <c r="B78" s="238"/>
      <c r="C78" s="238"/>
      <c r="D78" s="238"/>
      <c r="E78" s="239"/>
      <c r="F78" s="239"/>
      <c r="G78" s="238"/>
      <c r="H78" s="238"/>
      <c r="I78" s="240"/>
      <c r="J78" s="238"/>
      <c r="K78" s="239"/>
      <c r="L78" s="238"/>
      <c r="M78" s="238"/>
      <c r="N78" s="238"/>
    </row>
    <row r="79" spans="1:14" x14ac:dyDescent="0.2">
      <c r="A79" s="165"/>
      <c r="B79" s="238"/>
      <c r="C79" s="238"/>
      <c r="D79" s="238"/>
      <c r="E79" s="239"/>
      <c r="F79" s="239"/>
      <c r="G79" s="238"/>
      <c r="H79" s="238"/>
      <c r="I79" s="240"/>
      <c r="J79" s="238"/>
      <c r="K79" s="239"/>
      <c r="L79" s="238"/>
      <c r="M79" s="238"/>
      <c r="N79" s="238"/>
    </row>
    <row r="80" spans="1:14" x14ac:dyDescent="0.2">
      <c r="A80" s="165"/>
      <c r="B80" s="238"/>
      <c r="C80" s="238"/>
      <c r="D80" s="238"/>
      <c r="E80" s="239"/>
      <c r="F80" s="239"/>
      <c r="G80" s="238"/>
      <c r="H80" s="238"/>
      <c r="I80" s="240"/>
      <c r="J80" s="238"/>
      <c r="K80" s="239"/>
      <c r="L80" s="238"/>
      <c r="M80" s="238"/>
      <c r="N80" s="238"/>
    </row>
    <row r="81" spans="1:14" x14ac:dyDescent="0.2">
      <c r="A81" s="165"/>
      <c r="B81" s="238"/>
      <c r="C81" s="238"/>
      <c r="D81" s="238"/>
      <c r="E81" s="239"/>
      <c r="F81" s="239"/>
      <c r="G81" s="238"/>
      <c r="H81" s="238"/>
      <c r="I81" s="240"/>
      <c r="J81" s="238"/>
      <c r="K81" s="239"/>
      <c r="L81" s="238"/>
      <c r="M81" s="238"/>
      <c r="N81" s="238"/>
    </row>
    <row r="82" spans="1:14" x14ac:dyDescent="0.2">
      <c r="A82" s="165"/>
      <c r="B82" s="238"/>
      <c r="C82" s="238"/>
      <c r="D82" s="238"/>
      <c r="E82" s="239"/>
      <c r="F82" s="239"/>
      <c r="G82" s="238"/>
      <c r="H82" s="238"/>
      <c r="I82" s="240"/>
      <c r="J82" s="238"/>
      <c r="K82" s="239"/>
      <c r="L82" s="238"/>
      <c r="M82" s="238"/>
      <c r="N82" s="238"/>
    </row>
    <row r="83" spans="1:14" x14ac:dyDescent="0.2">
      <c r="A83" s="165"/>
      <c r="B83" s="238"/>
      <c r="C83" s="238"/>
      <c r="D83" s="238"/>
      <c r="E83" s="239"/>
      <c r="F83" s="239"/>
      <c r="G83" s="238"/>
      <c r="H83" s="238"/>
      <c r="I83" s="240"/>
      <c r="J83" s="238"/>
      <c r="K83" s="239"/>
      <c r="L83" s="238"/>
      <c r="M83" s="238"/>
      <c r="N83" s="238"/>
    </row>
    <row r="84" spans="1:14" x14ac:dyDescent="0.2">
      <c r="A84" s="165"/>
      <c r="B84" s="238"/>
      <c r="C84" s="238"/>
      <c r="D84" s="238"/>
      <c r="E84" s="239"/>
      <c r="F84" s="239"/>
      <c r="G84" s="238"/>
      <c r="H84" s="238"/>
      <c r="I84" s="240"/>
      <c r="J84" s="238"/>
      <c r="K84" s="239"/>
      <c r="L84" s="238"/>
      <c r="M84" s="238"/>
      <c r="N84" s="238"/>
    </row>
    <row r="85" spans="1:14" x14ac:dyDescent="0.2">
      <c r="A85" s="165"/>
      <c r="B85" s="238"/>
      <c r="C85" s="238"/>
      <c r="D85" s="238"/>
      <c r="E85" s="239"/>
      <c r="F85" s="239"/>
      <c r="G85" s="238"/>
      <c r="H85" s="238"/>
      <c r="I85" s="240"/>
      <c r="J85" s="238"/>
      <c r="K85" s="239"/>
      <c r="L85" s="238"/>
      <c r="M85" s="238"/>
      <c r="N85" s="238"/>
    </row>
    <row r="86" spans="1:14" x14ac:dyDescent="0.2">
      <c r="A86" s="165"/>
      <c r="B86" s="238"/>
      <c r="C86" s="238"/>
      <c r="D86" s="238"/>
      <c r="E86" s="239"/>
      <c r="F86" s="239"/>
      <c r="G86" s="238"/>
      <c r="H86" s="238"/>
      <c r="I86" s="240"/>
      <c r="J86" s="238"/>
      <c r="K86" s="239"/>
      <c r="L86" s="238"/>
      <c r="M86" s="238"/>
      <c r="N86" s="238"/>
    </row>
    <row r="87" spans="1:14" x14ac:dyDescent="0.2">
      <c r="A87" s="165"/>
      <c r="B87" s="238"/>
      <c r="C87" s="238"/>
      <c r="D87" s="238"/>
      <c r="E87" s="239"/>
      <c r="F87" s="239"/>
      <c r="G87" s="238"/>
      <c r="H87" s="238"/>
      <c r="I87" s="240"/>
      <c r="J87" s="238"/>
      <c r="K87" s="239"/>
      <c r="L87" s="238"/>
      <c r="M87" s="238"/>
      <c r="N87" s="238"/>
    </row>
    <row r="88" spans="1:14" x14ac:dyDescent="0.2">
      <c r="A88" s="165"/>
      <c r="B88" s="238"/>
      <c r="C88" s="238"/>
      <c r="D88" s="238"/>
      <c r="E88" s="239"/>
      <c r="F88" s="239"/>
      <c r="G88" s="238"/>
      <c r="H88" s="238"/>
      <c r="I88" s="240"/>
      <c r="J88" s="238"/>
      <c r="K88" s="239"/>
      <c r="L88" s="238"/>
      <c r="M88" s="238"/>
      <c r="N88" s="238"/>
    </row>
    <row r="89" spans="1:14" x14ac:dyDescent="0.2">
      <c r="A89" s="165"/>
      <c r="B89" s="238"/>
      <c r="C89" s="238"/>
      <c r="D89" s="238"/>
      <c r="E89" s="239"/>
      <c r="F89" s="239"/>
      <c r="G89" s="238"/>
      <c r="H89" s="238"/>
      <c r="I89" s="240"/>
      <c r="J89" s="238"/>
      <c r="K89" s="239"/>
      <c r="L89" s="238"/>
      <c r="M89" s="238"/>
      <c r="N89" s="238"/>
    </row>
    <row r="90" spans="1:14" x14ac:dyDescent="0.2">
      <c r="A90" s="165"/>
      <c r="B90" s="238"/>
      <c r="C90" s="238"/>
      <c r="D90" s="238"/>
      <c r="E90" s="239"/>
      <c r="F90" s="239"/>
      <c r="G90" s="238"/>
      <c r="H90" s="238"/>
      <c r="I90" s="240"/>
      <c r="J90" s="238"/>
      <c r="K90" s="239"/>
      <c r="L90" s="238"/>
      <c r="M90" s="238"/>
      <c r="N90" s="238"/>
    </row>
    <row r="91" spans="1:14" x14ac:dyDescent="0.2">
      <c r="A91" s="165"/>
      <c r="B91" s="238"/>
      <c r="C91" s="238"/>
      <c r="D91" s="238"/>
      <c r="E91" s="239"/>
      <c r="F91" s="239"/>
      <c r="G91" s="238"/>
      <c r="H91" s="238"/>
      <c r="I91" s="240"/>
      <c r="J91" s="238"/>
      <c r="K91" s="239"/>
      <c r="L91" s="238"/>
      <c r="M91" s="238"/>
      <c r="N91" s="238"/>
    </row>
    <row r="92" spans="1:14" x14ac:dyDescent="0.2">
      <c r="A92" s="165"/>
      <c r="B92" s="238"/>
      <c r="C92" s="238"/>
      <c r="D92" s="238"/>
      <c r="E92" s="239"/>
      <c r="F92" s="239"/>
      <c r="G92" s="238"/>
      <c r="H92" s="238"/>
      <c r="I92" s="240"/>
      <c r="J92" s="238"/>
      <c r="K92" s="239"/>
      <c r="L92" s="238"/>
      <c r="M92" s="238"/>
      <c r="N92" s="238"/>
    </row>
    <row r="93" spans="1:14" x14ac:dyDescent="0.2">
      <c r="A93" s="165"/>
      <c r="B93" s="238"/>
      <c r="C93" s="238"/>
      <c r="D93" s="238"/>
      <c r="E93" s="239"/>
      <c r="F93" s="239"/>
      <c r="G93" s="238"/>
      <c r="H93" s="238"/>
      <c r="I93" s="240"/>
      <c r="J93" s="238"/>
      <c r="K93" s="239"/>
      <c r="L93" s="238"/>
      <c r="M93" s="238"/>
      <c r="N93" s="238"/>
    </row>
    <row r="94" spans="1:14" x14ac:dyDescent="0.2">
      <c r="A94" s="165"/>
      <c r="B94" s="238"/>
      <c r="C94" s="238"/>
      <c r="D94" s="238"/>
      <c r="E94" s="239"/>
      <c r="F94" s="239"/>
      <c r="G94" s="238"/>
      <c r="H94" s="238"/>
      <c r="I94" s="240"/>
      <c r="J94" s="238"/>
      <c r="K94" s="239"/>
      <c r="L94" s="238"/>
      <c r="M94" s="238"/>
      <c r="N94" s="238"/>
    </row>
    <row r="95" spans="1:14" x14ac:dyDescent="0.2">
      <c r="A95" s="165"/>
      <c r="B95" s="238"/>
      <c r="C95" s="238"/>
      <c r="D95" s="238"/>
      <c r="E95" s="239"/>
      <c r="F95" s="239"/>
      <c r="G95" s="238"/>
      <c r="H95" s="238"/>
      <c r="I95" s="240"/>
      <c r="J95" s="238"/>
      <c r="K95" s="239"/>
      <c r="L95" s="238"/>
      <c r="M95" s="238"/>
      <c r="N95" s="238"/>
    </row>
    <row r="96" spans="1:14" x14ac:dyDescent="0.2">
      <c r="A96" s="165"/>
      <c r="B96" s="238"/>
      <c r="C96" s="238"/>
      <c r="D96" s="238"/>
      <c r="E96" s="239"/>
      <c r="F96" s="239"/>
      <c r="G96" s="238"/>
      <c r="H96" s="238"/>
      <c r="I96" s="240"/>
      <c r="J96" s="238"/>
      <c r="K96" s="239"/>
      <c r="L96" s="238"/>
      <c r="M96" s="238"/>
      <c r="N96" s="238"/>
    </row>
    <row r="97" spans="1:14" x14ac:dyDescent="0.2">
      <c r="A97" s="165"/>
      <c r="B97" s="238"/>
      <c r="C97" s="238"/>
      <c r="D97" s="238"/>
      <c r="E97" s="239"/>
      <c r="F97" s="239"/>
      <c r="G97" s="238"/>
      <c r="H97" s="238"/>
      <c r="I97" s="240"/>
      <c r="J97" s="238"/>
      <c r="K97" s="239"/>
      <c r="L97" s="238"/>
      <c r="M97" s="238"/>
      <c r="N97" s="238"/>
    </row>
    <row r="98" spans="1:14" x14ac:dyDescent="0.2">
      <c r="A98" s="165"/>
      <c r="B98" s="238"/>
      <c r="C98" s="238"/>
      <c r="D98" s="238"/>
      <c r="E98" s="239"/>
      <c r="F98" s="239"/>
      <c r="G98" s="238"/>
      <c r="H98" s="238"/>
      <c r="I98" s="240"/>
      <c r="J98" s="238"/>
      <c r="K98" s="239"/>
      <c r="L98" s="238"/>
      <c r="M98" s="238"/>
      <c r="N98" s="238"/>
    </row>
    <row r="99" spans="1:14" x14ac:dyDescent="0.2">
      <c r="A99" s="165"/>
      <c r="B99" s="238"/>
      <c r="C99" s="238"/>
      <c r="D99" s="238"/>
      <c r="E99" s="239"/>
      <c r="F99" s="239"/>
      <c r="G99" s="238"/>
      <c r="H99" s="238"/>
      <c r="I99" s="240"/>
      <c r="J99" s="238"/>
      <c r="K99" s="239"/>
      <c r="L99" s="238"/>
      <c r="M99" s="238"/>
      <c r="N99" s="238"/>
    </row>
    <row r="100" spans="1:14" x14ac:dyDescent="0.2">
      <c r="A100" s="165"/>
      <c r="B100" s="238"/>
      <c r="C100" s="238"/>
      <c r="D100" s="238"/>
      <c r="E100" s="239"/>
      <c r="F100" s="239"/>
      <c r="G100" s="238"/>
      <c r="H100" s="238"/>
      <c r="I100" s="240"/>
      <c r="J100" s="238"/>
      <c r="K100" s="239"/>
      <c r="L100" s="238"/>
      <c r="M100" s="238"/>
      <c r="N100" s="238"/>
    </row>
    <row r="101" spans="1:14" x14ac:dyDescent="0.2">
      <c r="A101" s="165"/>
      <c r="B101" s="238"/>
      <c r="C101" s="238"/>
      <c r="D101" s="238"/>
      <c r="E101" s="239"/>
      <c r="F101" s="239"/>
      <c r="G101" s="238"/>
      <c r="H101" s="238"/>
      <c r="I101" s="240"/>
      <c r="J101" s="238"/>
      <c r="K101" s="239"/>
      <c r="L101" s="238"/>
      <c r="M101" s="238"/>
      <c r="N101" s="238"/>
    </row>
    <row r="102" spans="1:14" x14ac:dyDescent="0.2">
      <c r="A102" s="165"/>
      <c r="B102" s="238"/>
      <c r="C102" s="238"/>
      <c r="D102" s="238"/>
      <c r="E102" s="239"/>
      <c r="F102" s="239"/>
      <c r="G102" s="238"/>
      <c r="H102" s="238"/>
      <c r="I102" s="240"/>
      <c r="J102" s="238"/>
      <c r="K102" s="239"/>
      <c r="L102" s="238"/>
      <c r="M102" s="238"/>
      <c r="N102" s="238"/>
    </row>
    <row r="103" spans="1:14" x14ac:dyDescent="0.2">
      <c r="A103" s="165"/>
      <c r="B103" s="238"/>
      <c r="C103" s="238"/>
      <c r="D103" s="238"/>
      <c r="E103" s="239"/>
      <c r="F103" s="239"/>
      <c r="G103" s="238"/>
      <c r="H103" s="238"/>
      <c r="I103" s="240"/>
      <c r="J103" s="238"/>
      <c r="K103" s="239"/>
      <c r="L103" s="238"/>
      <c r="M103" s="238"/>
      <c r="N103" s="238"/>
    </row>
    <row r="104" spans="1:14" x14ac:dyDescent="0.2">
      <c r="A104" s="165"/>
      <c r="B104" s="238"/>
      <c r="C104" s="238"/>
      <c r="D104" s="238"/>
      <c r="E104" s="239"/>
      <c r="F104" s="239"/>
      <c r="G104" s="238"/>
      <c r="H104" s="238"/>
      <c r="I104" s="240"/>
      <c r="J104" s="238"/>
      <c r="K104" s="239"/>
      <c r="L104" s="238"/>
      <c r="M104" s="238"/>
      <c r="N104" s="238"/>
    </row>
    <row r="105" spans="1:14" x14ac:dyDescent="0.2">
      <c r="A105" s="165"/>
      <c r="B105" s="238"/>
      <c r="C105" s="238"/>
      <c r="D105" s="238"/>
      <c r="E105" s="239"/>
      <c r="F105" s="239"/>
      <c r="G105" s="238"/>
      <c r="H105" s="238"/>
      <c r="I105" s="240"/>
      <c r="J105" s="238"/>
      <c r="K105" s="239"/>
      <c r="L105" s="238"/>
      <c r="M105" s="238"/>
      <c r="N105" s="238"/>
    </row>
    <row r="106" spans="1:14" x14ac:dyDescent="0.2">
      <c r="A106" s="165"/>
      <c r="B106" s="238"/>
      <c r="C106" s="238"/>
      <c r="D106" s="238"/>
      <c r="E106" s="239"/>
      <c r="F106" s="239"/>
      <c r="G106" s="238"/>
      <c r="H106" s="238"/>
      <c r="I106" s="240"/>
      <c r="J106" s="238"/>
      <c r="K106" s="239"/>
      <c r="L106" s="238"/>
      <c r="M106" s="238"/>
      <c r="N106" s="238"/>
    </row>
    <row r="107" spans="1:14" x14ac:dyDescent="0.2">
      <c r="A107" s="165"/>
      <c r="B107" s="238"/>
      <c r="C107" s="238"/>
      <c r="D107" s="238"/>
      <c r="E107" s="239"/>
      <c r="F107" s="239"/>
      <c r="G107" s="238"/>
      <c r="H107" s="238"/>
      <c r="I107" s="240"/>
      <c r="J107" s="238"/>
      <c r="K107" s="239"/>
      <c r="L107" s="238"/>
      <c r="M107" s="238"/>
      <c r="N107" s="238"/>
    </row>
    <row r="108" spans="1:14" x14ac:dyDescent="0.2">
      <c r="A108" s="165"/>
      <c r="B108" s="238"/>
      <c r="C108" s="238"/>
      <c r="D108" s="238"/>
      <c r="E108" s="239"/>
      <c r="F108" s="239"/>
      <c r="G108" s="238"/>
      <c r="H108" s="238"/>
      <c r="I108" s="240"/>
      <c r="J108" s="238"/>
      <c r="K108" s="239"/>
      <c r="L108" s="238"/>
      <c r="M108" s="238"/>
      <c r="N108" s="238"/>
    </row>
    <row r="109" spans="1:14" x14ac:dyDescent="0.2">
      <c r="A109" s="165"/>
      <c r="B109" s="238"/>
      <c r="C109" s="238"/>
      <c r="D109" s="238"/>
      <c r="E109" s="239"/>
      <c r="F109" s="239"/>
      <c r="G109" s="238"/>
      <c r="H109" s="238"/>
      <c r="I109" s="240"/>
      <c r="J109" s="238"/>
      <c r="K109" s="239"/>
      <c r="L109" s="238"/>
      <c r="M109" s="238"/>
      <c r="N109" s="238"/>
    </row>
    <row r="110" spans="1:14" x14ac:dyDescent="0.2">
      <c r="A110" s="165"/>
      <c r="B110" s="238"/>
      <c r="C110" s="238"/>
      <c r="D110" s="238"/>
      <c r="E110" s="239"/>
      <c r="F110" s="239"/>
      <c r="G110" s="238"/>
      <c r="H110" s="238"/>
      <c r="I110" s="240"/>
      <c r="J110" s="238"/>
      <c r="K110" s="239"/>
      <c r="L110" s="238"/>
      <c r="M110" s="238"/>
      <c r="N110" s="238"/>
    </row>
    <row r="111" spans="1:14" x14ac:dyDescent="0.2">
      <c r="A111" s="165"/>
      <c r="B111" s="238"/>
      <c r="C111" s="238"/>
      <c r="D111" s="238"/>
      <c r="E111" s="239"/>
      <c r="F111" s="239"/>
      <c r="G111" s="238"/>
      <c r="H111" s="238"/>
      <c r="I111" s="240"/>
      <c r="J111" s="238"/>
      <c r="K111" s="239"/>
      <c r="L111" s="238"/>
      <c r="M111" s="238"/>
      <c r="N111" s="238"/>
    </row>
    <row r="112" spans="1:14" x14ac:dyDescent="0.2">
      <c r="A112" s="165"/>
      <c r="B112" s="238"/>
      <c r="C112" s="238"/>
      <c r="D112" s="238"/>
      <c r="E112" s="239"/>
      <c r="F112" s="239"/>
      <c r="G112" s="238"/>
      <c r="H112" s="238"/>
      <c r="I112" s="240"/>
      <c r="J112" s="238"/>
      <c r="K112" s="239"/>
      <c r="L112" s="238"/>
      <c r="M112" s="238"/>
      <c r="N112" s="238"/>
    </row>
    <row r="113" spans="1:14" x14ac:dyDescent="0.2">
      <c r="A113" s="165"/>
      <c r="B113" s="238"/>
      <c r="C113" s="238"/>
      <c r="D113" s="238"/>
      <c r="E113" s="239"/>
      <c r="F113" s="239"/>
      <c r="G113" s="238"/>
      <c r="H113" s="238"/>
      <c r="I113" s="240"/>
      <c r="J113" s="238"/>
      <c r="K113" s="239"/>
      <c r="L113" s="238"/>
      <c r="M113" s="238"/>
      <c r="N113" s="238"/>
    </row>
    <row r="114" spans="1:14" x14ac:dyDescent="0.2">
      <c r="A114" s="165"/>
      <c r="B114" s="238"/>
      <c r="C114" s="238"/>
      <c r="D114" s="238"/>
      <c r="E114" s="239"/>
      <c r="F114" s="239"/>
      <c r="G114" s="238"/>
      <c r="H114" s="238"/>
      <c r="I114" s="240"/>
      <c r="J114" s="238"/>
      <c r="K114" s="239"/>
      <c r="L114" s="238"/>
      <c r="M114" s="238"/>
      <c r="N114" s="238"/>
    </row>
    <row r="115" spans="1:14" x14ac:dyDescent="0.2">
      <c r="A115" s="165"/>
      <c r="B115" s="238"/>
      <c r="C115" s="238"/>
      <c r="D115" s="238"/>
      <c r="E115" s="239"/>
      <c r="F115" s="239"/>
      <c r="G115" s="238"/>
      <c r="H115" s="238"/>
      <c r="I115" s="240"/>
      <c r="J115" s="238"/>
      <c r="K115" s="239"/>
      <c r="L115" s="238"/>
      <c r="M115" s="238"/>
      <c r="N115" s="238"/>
    </row>
    <row r="116" spans="1:14" x14ac:dyDescent="0.2">
      <c r="A116" s="165"/>
      <c r="B116" s="238"/>
      <c r="C116" s="238"/>
      <c r="D116" s="238"/>
      <c r="E116" s="239"/>
      <c r="F116" s="239"/>
      <c r="G116" s="238"/>
      <c r="H116" s="238"/>
      <c r="I116" s="240"/>
      <c r="J116" s="238"/>
      <c r="K116" s="239"/>
      <c r="L116" s="238"/>
      <c r="M116" s="238"/>
      <c r="N116" s="238"/>
    </row>
    <row r="117" spans="1:14" x14ac:dyDescent="0.2">
      <c r="A117" s="165"/>
      <c r="B117" s="238"/>
      <c r="C117" s="238"/>
      <c r="D117" s="238"/>
      <c r="E117" s="239"/>
      <c r="F117" s="239"/>
      <c r="G117" s="238"/>
      <c r="H117" s="238"/>
      <c r="I117" s="240"/>
      <c r="J117" s="238"/>
      <c r="K117" s="239"/>
      <c r="L117" s="238"/>
      <c r="M117" s="238"/>
      <c r="N117" s="238"/>
    </row>
    <row r="118" spans="1:14" x14ac:dyDescent="0.2">
      <c r="A118" s="165"/>
      <c r="B118" s="238"/>
      <c r="C118" s="238"/>
      <c r="D118" s="238"/>
      <c r="E118" s="239"/>
      <c r="F118" s="239"/>
      <c r="G118" s="238"/>
      <c r="H118" s="238"/>
      <c r="I118" s="240"/>
      <c r="J118" s="238"/>
      <c r="K118" s="239"/>
      <c r="L118" s="238"/>
      <c r="M118" s="238"/>
      <c r="N118" s="238"/>
    </row>
    <row r="119" spans="1:14" x14ac:dyDescent="0.2">
      <c r="B119" s="255"/>
      <c r="C119" s="255"/>
      <c r="D119" s="255"/>
      <c r="E119" s="256"/>
      <c r="F119" s="256"/>
      <c r="G119" s="255"/>
      <c r="H119" s="255"/>
      <c r="I119" s="257"/>
      <c r="J119" s="255"/>
      <c r="K119" s="256"/>
      <c r="L119" s="255"/>
      <c r="M119" s="255"/>
      <c r="N119" s="255"/>
    </row>
    <row r="120" spans="1:14" x14ac:dyDescent="0.2">
      <c r="B120" s="255"/>
      <c r="C120" s="255"/>
      <c r="D120" s="255"/>
      <c r="E120" s="256"/>
      <c r="F120" s="256"/>
      <c r="G120" s="255"/>
      <c r="H120" s="255"/>
      <c r="I120" s="257"/>
      <c r="J120" s="255"/>
      <c r="K120" s="256"/>
      <c r="L120" s="255"/>
      <c r="M120" s="255"/>
      <c r="N120" s="255"/>
    </row>
    <row r="121" spans="1:14" x14ac:dyDescent="0.2">
      <c r="B121" s="255"/>
      <c r="C121" s="255"/>
      <c r="D121" s="255"/>
      <c r="E121" s="256"/>
      <c r="F121" s="256"/>
      <c r="G121" s="255"/>
      <c r="H121" s="255"/>
      <c r="I121" s="257"/>
      <c r="J121" s="255"/>
      <c r="K121" s="256"/>
      <c r="L121" s="255"/>
      <c r="M121" s="255"/>
      <c r="N121" s="255"/>
    </row>
    <row r="122" spans="1:14" x14ac:dyDescent="0.2">
      <c r="B122" s="255"/>
      <c r="C122" s="255"/>
      <c r="D122" s="255"/>
      <c r="E122" s="256"/>
      <c r="F122" s="256"/>
      <c r="G122" s="255"/>
      <c r="H122" s="255"/>
      <c r="I122" s="257"/>
      <c r="J122" s="255"/>
      <c r="K122" s="256"/>
      <c r="L122" s="255"/>
      <c r="M122" s="255"/>
      <c r="N122" s="255"/>
    </row>
    <row r="123" spans="1:14" x14ac:dyDescent="0.2">
      <c r="B123" s="255"/>
      <c r="C123" s="255"/>
      <c r="D123" s="255"/>
      <c r="E123" s="256"/>
      <c r="F123" s="256"/>
      <c r="G123" s="255"/>
      <c r="H123" s="255"/>
      <c r="I123" s="257"/>
      <c r="J123" s="255"/>
      <c r="K123" s="256"/>
      <c r="L123" s="255"/>
      <c r="M123" s="255"/>
      <c r="N123" s="255"/>
    </row>
    <row r="124" spans="1:14" x14ac:dyDescent="0.2">
      <c r="B124" s="255"/>
      <c r="C124" s="255"/>
      <c r="D124" s="255"/>
      <c r="E124" s="256"/>
      <c r="F124" s="256"/>
      <c r="G124" s="255"/>
      <c r="H124" s="255"/>
      <c r="I124" s="257"/>
      <c r="J124" s="255"/>
      <c r="K124" s="256"/>
      <c r="L124" s="255"/>
      <c r="M124" s="255"/>
      <c r="N124" s="255"/>
    </row>
    <row r="125" spans="1:14" x14ac:dyDescent="0.2">
      <c r="B125" s="255"/>
      <c r="C125" s="255"/>
      <c r="D125" s="255"/>
      <c r="E125" s="256"/>
      <c r="F125" s="256"/>
      <c r="G125" s="255"/>
      <c r="H125" s="255"/>
      <c r="I125" s="257"/>
      <c r="J125" s="255"/>
      <c r="K125" s="256"/>
      <c r="L125" s="255"/>
      <c r="M125" s="255"/>
      <c r="N125" s="255"/>
    </row>
    <row r="126" spans="1:14" x14ac:dyDescent="0.2">
      <c r="B126" s="255"/>
      <c r="C126" s="255"/>
      <c r="D126" s="255"/>
      <c r="E126" s="256"/>
      <c r="F126" s="256"/>
      <c r="G126" s="255"/>
      <c r="H126" s="255"/>
      <c r="I126" s="257"/>
      <c r="J126" s="255"/>
      <c r="K126" s="256"/>
      <c r="L126" s="255"/>
      <c r="M126" s="255"/>
      <c r="N126" s="255"/>
    </row>
    <row r="127" spans="1:14" x14ac:dyDescent="0.2">
      <c r="B127" s="255"/>
      <c r="C127" s="255"/>
      <c r="D127" s="255"/>
      <c r="E127" s="256"/>
      <c r="F127" s="256"/>
      <c r="G127" s="255"/>
      <c r="H127" s="255"/>
      <c r="I127" s="257"/>
      <c r="J127" s="255"/>
      <c r="K127" s="256"/>
      <c r="L127" s="255"/>
      <c r="M127" s="255"/>
      <c r="N127" s="255"/>
    </row>
    <row r="128" spans="1:14" x14ac:dyDescent="0.2">
      <c r="B128" s="255"/>
      <c r="C128" s="255"/>
      <c r="D128" s="255"/>
      <c r="E128" s="256"/>
      <c r="F128" s="256"/>
      <c r="G128" s="255"/>
      <c r="H128" s="255"/>
      <c r="I128" s="257"/>
      <c r="J128" s="255"/>
      <c r="K128" s="256"/>
      <c r="L128" s="255"/>
      <c r="M128" s="255"/>
      <c r="N128" s="255"/>
    </row>
    <row r="129" spans="2:14" x14ac:dyDescent="0.2">
      <c r="B129" s="255"/>
      <c r="C129" s="255"/>
      <c r="D129" s="255"/>
      <c r="E129" s="256"/>
      <c r="F129" s="256"/>
      <c r="G129" s="255"/>
      <c r="H129" s="255"/>
      <c r="I129" s="257"/>
      <c r="J129" s="255"/>
      <c r="K129" s="256"/>
      <c r="L129" s="255"/>
      <c r="M129" s="255"/>
      <c r="N129" s="255"/>
    </row>
    <row r="130" spans="2:14" x14ac:dyDescent="0.2">
      <c r="B130" s="255"/>
      <c r="C130" s="255"/>
      <c r="D130" s="255"/>
      <c r="E130" s="256"/>
      <c r="F130" s="256"/>
      <c r="G130" s="255"/>
      <c r="H130" s="255"/>
      <c r="I130" s="257"/>
      <c r="J130" s="255"/>
      <c r="K130" s="256"/>
      <c r="L130" s="255"/>
      <c r="M130" s="255"/>
      <c r="N130" s="255"/>
    </row>
    <row r="131" spans="2:14" x14ac:dyDescent="0.2">
      <c r="B131" s="255"/>
      <c r="C131" s="255"/>
      <c r="D131" s="255"/>
      <c r="E131" s="256"/>
      <c r="F131" s="256"/>
      <c r="G131" s="255"/>
      <c r="H131" s="255"/>
      <c r="I131" s="257"/>
      <c r="J131" s="255"/>
      <c r="K131" s="256"/>
      <c r="L131" s="255"/>
      <c r="M131" s="255"/>
      <c r="N131" s="255"/>
    </row>
    <row r="132" spans="2:14" x14ac:dyDescent="0.2">
      <c r="B132" s="255"/>
      <c r="C132" s="255"/>
      <c r="D132" s="255"/>
      <c r="E132" s="256"/>
      <c r="F132" s="256"/>
      <c r="G132" s="255"/>
      <c r="H132" s="255"/>
      <c r="I132" s="257"/>
      <c r="J132" s="255"/>
      <c r="K132" s="256"/>
      <c r="L132" s="255"/>
      <c r="M132" s="255"/>
      <c r="N132" s="255"/>
    </row>
    <row r="133" spans="2:14" x14ac:dyDescent="0.2">
      <c r="B133" s="255"/>
      <c r="C133" s="255"/>
      <c r="D133" s="255"/>
      <c r="E133" s="256"/>
      <c r="F133" s="256"/>
      <c r="G133" s="255"/>
      <c r="H133" s="255"/>
      <c r="I133" s="257"/>
      <c r="J133" s="255"/>
      <c r="K133" s="256"/>
      <c r="L133" s="255"/>
      <c r="M133" s="255"/>
      <c r="N133" s="255"/>
    </row>
    <row r="134" spans="2:14" x14ac:dyDescent="0.2">
      <c r="B134" s="255"/>
      <c r="C134" s="255"/>
      <c r="D134" s="255"/>
      <c r="E134" s="256"/>
      <c r="F134" s="256"/>
      <c r="G134" s="255"/>
      <c r="H134" s="255"/>
      <c r="I134" s="257"/>
      <c r="J134" s="255"/>
      <c r="K134" s="256"/>
      <c r="L134" s="255"/>
      <c r="M134" s="255"/>
      <c r="N134" s="255"/>
    </row>
    <row r="135" spans="2:14" x14ac:dyDescent="0.2">
      <c r="B135" s="255"/>
      <c r="C135" s="255"/>
      <c r="D135" s="255"/>
      <c r="E135" s="256"/>
      <c r="F135" s="256"/>
      <c r="G135" s="255"/>
      <c r="H135" s="255"/>
      <c r="I135" s="257"/>
      <c r="J135" s="255"/>
      <c r="K135" s="256"/>
      <c r="L135" s="255"/>
      <c r="M135" s="255"/>
      <c r="N135" s="255"/>
    </row>
    <row r="136" spans="2:14" x14ac:dyDescent="0.2">
      <c r="B136" s="255"/>
      <c r="C136" s="255"/>
      <c r="D136" s="255"/>
      <c r="E136" s="256"/>
      <c r="F136" s="256"/>
      <c r="G136" s="255"/>
      <c r="H136" s="255"/>
      <c r="I136" s="257"/>
      <c r="J136" s="255"/>
      <c r="K136" s="256"/>
      <c r="L136" s="255"/>
      <c r="M136" s="255"/>
      <c r="N136" s="255"/>
    </row>
    <row r="137" spans="2:14" x14ac:dyDescent="0.2">
      <c r="B137" s="255"/>
      <c r="C137" s="255"/>
      <c r="D137" s="255"/>
      <c r="E137" s="256"/>
      <c r="F137" s="256"/>
      <c r="G137" s="255"/>
      <c r="H137" s="255"/>
      <c r="I137" s="257"/>
      <c r="J137" s="255"/>
      <c r="K137" s="256"/>
      <c r="L137" s="255"/>
      <c r="M137" s="255"/>
      <c r="N137" s="255"/>
    </row>
    <row r="138" spans="2:14" x14ac:dyDescent="0.2">
      <c r="B138" s="255"/>
      <c r="C138" s="255"/>
      <c r="D138" s="255"/>
      <c r="E138" s="256"/>
      <c r="F138" s="256"/>
      <c r="G138" s="255"/>
      <c r="H138" s="255"/>
      <c r="I138" s="257"/>
      <c r="J138" s="255"/>
      <c r="K138" s="256"/>
      <c r="L138" s="255"/>
      <c r="M138" s="255"/>
      <c r="N138" s="255"/>
    </row>
    <row r="139" spans="2:14" x14ac:dyDescent="0.2">
      <c r="B139" s="255"/>
      <c r="C139" s="255"/>
      <c r="D139" s="255"/>
      <c r="E139" s="256"/>
      <c r="F139" s="256"/>
      <c r="G139" s="255"/>
      <c r="H139" s="255"/>
      <c r="I139" s="257"/>
      <c r="J139" s="255"/>
      <c r="K139" s="256"/>
      <c r="L139" s="255"/>
      <c r="M139" s="255"/>
      <c r="N139" s="255"/>
    </row>
    <row r="140" spans="2:14" x14ac:dyDescent="0.2">
      <c r="B140" s="255"/>
      <c r="C140" s="255"/>
      <c r="D140" s="255"/>
      <c r="E140" s="256"/>
      <c r="F140" s="256"/>
      <c r="G140" s="255"/>
      <c r="H140" s="255"/>
      <c r="I140" s="257"/>
      <c r="J140" s="255"/>
      <c r="K140" s="256"/>
      <c r="L140" s="255"/>
      <c r="M140" s="255"/>
      <c r="N140" s="255"/>
    </row>
    <row r="141" spans="2:14" x14ac:dyDescent="0.2">
      <c r="B141" s="255"/>
      <c r="C141" s="255"/>
      <c r="D141" s="255"/>
      <c r="E141" s="256"/>
      <c r="F141" s="256"/>
      <c r="G141" s="255"/>
      <c r="H141" s="255"/>
      <c r="I141" s="257"/>
      <c r="J141" s="255"/>
      <c r="K141" s="256"/>
      <c r="L141" s="255"/>
      <c r="M141" s="255"/>
      <c r="N141" s="255"/>
    </row>
    <row r="142" spans="2:14" x14ac:dyDescent="0.2">
      <c r="B142" s="255"/>
      <c r="C142" s="255"/>
      <c r="D142" s="255"/>
      <c r="E142" s="256"/>
      <c r="F142" s="256"/>
      <c r="G142" s="255"/>
      <c r="H142" s="255"/>
      <c r="I142" s="257"/>
      <c r="J142" s="255"/>
      <c r="K142" s="256"/>
      <c r="L142" s="255"/>
      <c r="M142" s="255"/>
      <c r="N142" s="255"/>
    </row>
    <row r="143" spans="2:14" x14ac:dyDescent="0.2">
      <c r="B143" s="255"/>
      <c r="C143" s="255"/>
      <c r="D143" s="255"/>
      <c r="E143" s="256"/>
      <c r="F143" s="256"/>
      <c r="G143" s="255"/>
      <c r="H143" s="255"/>
      <c r="I143" s="257"/>
      <c r="J143" s="255"/>
      <c r="K143" s="256"/>
      <c r="L143" s="255"/>
      <c r="M143" s="255"/>
      <c r="N143" s="255"/>
    </row>
    <row r="144" spans="2:14" x14ac:dyDescent="0.2">
      <c r="B144" s="255"/>
      <c r="C144" s="255"/>
      <c r="D144" s="255"/>
      <c r="E144" s="256"/>
      <c r="F144" s="256"/>
      <c r="G144" s="255"/>
      <c r="H144" s="255"/>
      <c r="I144" s="257"/>
      <c r="J144" s="255"/>
      <c r="K144" s="256"/>
      <c r="L144" s="255"/>
      <c r="M144" s="255"/>
      <c r="N144" s="255"/>
    </row>
    <row r="145" spans="2:14" x14ac:dyDescent="0.2">
      <c r="B145" s="255"/>
      <c r="C145" s="255"/>
      <c r="D145" s="255"/>
      <c r="E145" s="256"/>
      <c r="F145" s="256"/>
      <c r="G145" s="255"/>
      <c r="H145" s="255"/>
      <c r="I145" s="257"/>
      <c r="J145" s="255"/>
      <c r="K145" s="256"/>
      <c r="L145" s="255"/>
      <c r="M145" s="255"/>
      <c r="N145" s="255"/>
    </row>
    <row r="146" spans="2:14" x14ac:dyDescent="0.2">
      <c r="B146" s="255"/>
      <c r="C146" s="255"/>
      <c r="D146" s="255"/>
      <c r="E146" s="256"/>
      <c r="F146" s="256"/>
      <c r="G146" s="255"/>
      <c r="H146" s="255"/>
      <c r="I146" s="257"/>
      <c r="J146" s="255"/>
      <c r="K146" s="256"/>
      <c r="L146" s="255"/>
      <c r="M146" s="255"/>
      <c r="N146" s="255"/>
    </row>
    <row r="147" spans="2:14" x14ac:dyDescent="0.2">
      <c r="B147" s="255"/>
      <c r="C147" s="255"/>
      <c r="D147" s="255"/>
      <c r="E147" s="256"/>
      <c r="F147" s="256"/>
      <c r="G147" s="255"/>
      <c r="H147" s="255"/>
      <c r="I147" s="257"/>
      <c r="J147" s="255"/>
      <c r="K147" s="256"/>
      <c r="L147" s="255"/>
      <c r="M147" s="255"/>
      <c r="N147" s="255"/>
    </row>
    <row r="148" spans="2:14" x14ac:dyDescent="0.2">
      <c r="B148" s="255"/>
      <c r="C148" s="255"/>
      <c r="D148" s="255"/>
      <c r="E148" s="256"/>
      <c r="F148" s="256"/>
      <c r="G148" s="255"/>
      <c r="H148" s="255"/>
      <c r="I148" s="257"/>
      <c r="J148" s="255"/>
      <c r="K148" s="256"/>
      <c r="L148" s="255"/>
      <c r="M148" s="255"/>
      <c r="N148" s="255"/>
    </row>
    <row r="149" spans="2:14" x14ac:dyDescent="0.2">
      <c r="B149" s="255"/>
      <c r="C149" s="255"/>
      <c r="D149" s="255"/>
      <c r="E149" s="256"/>
      <c r="F149" s="256"/>
      <c r="G149" s="255"/>
      <c r="H149" s="255"/>
      <c r="I149" s="257"/>
      <c r="J149" s="255"/>
      <c r="K149" s="256"/>
      <c r="L149" s="255"/>
      <c r="M149" s="255"/>
      <c r="N149" s="255"/>
    </row>
    <row r="150" spans="2:14" x14ac:dyDescent="0.2">
      <c r="B150" s="255"/>
      <c r="C150" s="255"/>
      <c r="D150" s="255"/>
      <c r="E150" s="256"/>
      <c r="F150" s="256"/>
      <c r="G150" s="255"/>
      <c r="H150" s="255"/>
      <c r="I150" s="257"/>
      <c r="J150" s="255"/>
      <c r="K150" s="256"/>
      <c r="L150" s="255"/>
      <c r="M150" s="255"/>
      <c r="N150" s="255"/>
    </row>
    <row r="151" spans="2:14" x14ac:dyDescent="0.2">
      <c r="B151" s="255"/>
      <c r="C151" s="255"/>
      <c r="D151" s="255"/>
      <c r="E151" s="256"/>
      <c r="F151" s="256"/>
      <c r="G151" s="255"/>
      <c r="H151" s="255"/>
      <c r="I151" s="257"/>
      <c r="J151" s="255"/>
      <c r="K151" s="256"/>
      <c r="L151" s="255"/>
      <c r="M151" s="255"/>
      <c r="N151" s="255"/>
    </row>
    <row r="152" spans="2:14" x14ac:dyDescent="0.2">
      <c r="B152" s="255"/>
      <c r="C152" s="255"/>
      <c r="D152" s="255"/>
      <c r="E152" s="256"/>
      <c r="F152" s="256"/>
      <c r="G152" s="255"/>
      <c r="H152" s="255"/>
      <c r="I152" s="257"/>
      <c r="J152" s="255"/>
      <c r="K152" s="256"/>
      <c r="L152" s="255"/>
      <c r="M152" s="255"/>
      <c r="N152" s="255"/>
    </row>
    <row r="153" spans="2:14" x14ac:dyDescent="0.2">
      <c r="B153" s="255"/>
      <c r="C153" s="255"/>
      <c r="D153" s="255"/>
      <c r="E153" s="256"/>
      <c r="F153" s="256"/>
      <c r="G153" s="255"/>
      <c r="H153" s="255"/>
      <c r="I153" s="257"/>
      <c r="J153" s="255"/>
      <c r="K153" s="256"/>
      <c r="L153" s="255"/>
      <c r="M153" s="255"/>
      <c r="N153" s="255"/>
    </row>
    <row r="154" spans="2:14" x14ac:dyDescent="0.2">
      <c r="B154" s="255"/>
      <c r="C154" s="255"/>
      <c r="D154" s="255"/>
      <c r="E154" s="256"/>
      <c r="F154" s="256"/>
      <c r="G154" s="255"/>
      <c r="H154" s="255"/>
      <c r="I154" s="257"/>
      <c r="J154" s="255"/>
      <c r="K154" s="256"/>
      <c r="L154" s="255"/>
      <c r="M154" s="255"/>
      <c r="N154" s="255"/>
    </row>
    <row r="155" spans="2:14" x14ac:dyDescent="0.2">
      <c r="B155" s="255"/>
      <c r="C155" s="255"/>
      <c r="D155" s="255"/>
      <c r="E155" s="256"/>
      <c r="F155" s="256"/>
      <c r="G155" s="255"/>
      <c r="H155" s="255"/>
      <c r="I155" s="257"/>
      <c r="J155" s="255"/>
      <c r="K155" s="256"/>
      <c r="L155" s="255"/>
      <c r="M155" s="255"/>
      <c r="N155" s="255"/>
    </row>
    <row r="156" spans="2:14" x14ac:dyDescent="0.2">
      <c r="B156" s="255"/>
      <c r="C156" s="255"/>
      <c r="D156" s="255"/>
      <c r="E156" s="256"/>
      <c r="F156" s="256"/>
      <c r="G156" s="255"/>
      <c r="H156" s="255"/>
      <c r="I156" s="257"/>
      <c r="J156" s="255"/>
      <c r="K156" s="256"/>
      <c r="L156" s="255"/>
      <c r="M156" s="255"/>
      <c r="N156" s="255"/>
    </row>
    <row r="157" spans="2:14" x14ac:dyDescent="0.2">
      <c r="B157" s="255"/>
      <c r="C157" s="255"/>
      <c r="D157" s="255"/>
      <c r="E157" s="256"/>
      <c r="F157" s="256"/>
      <c r="G157" s="255"/>
      <c r="H157" s="255"/>
      <c r="I157" s="257"/>
      <c r="J157" s="255"/>
      <c r="K157" s="256"/>
      <c r="L157" s="255"/>
      <c r="M157" s="255"/>
      <c r="N157" s="255"/>
    </row>
    <row r="158" spans="2:14" x14ac:dyDescent="0.2">
      <c r="B158" s="255"/>
      <c r="C158" s="255"/>
      <c r="D158" s="255"/>
      <c r="E158" s="256"/>
      <c r="F158" s="256"/>
      <c r="G158" s="255"/>
      <c r="H158" s="255"/>
      <c r="I158" s="257"/>
      <c r="J158" s="255"/>
      <c r="K158" s="256"/>
      <c r="L158" s="255"/>
      <c r="M158" s="255"/>
      <c r="N158" s="255"/>
    </row>
    <row r="159" spans="2:14" x14ac:dyDescent="0.2">
      <c r="B159" s="255"/>
      <c r="C159" s="255"/>
      <c r="D159" s="255"/>
      <c r="E159" s="256"/>
      <c r="F159" s="256"/>
      <c r="G159" s="255"/>
      <c r="H159" s="255"/>
      <c r="I159" s="257"/>
      <c r="J159" s="255"/>
      <c r="K159" s="256"/>
      <c r="L159" s="255"/>
      <c r="M159" s="255"/>
      <c r="N159" s="255"/>
    </row>
    <row r="160" spans="2:14" x14ac:dyDescent="0.2">
      <c r="B160" s="255"/>
      <c r="C160" s="255"/>
      <c r="D160" s="255"/>
      <c r="E160" s="256"/>
      <c r="F160" s="256"/>
      <c r="G160" s="255"/>
      <c r="H160" s="255"/>
      <c r="I160" s="257"/>
      <c r="J160" s="255"/>
      <c r="K160" s="256"/>
      <c r="L160" s="255"/>
      <c r="M160" s="255"/>
      <c r="N160" s="255"/>
    </row>
    <row r="161" spans="2:14" x14ac:dyDescent="0.2">
      <c r="B161" s="255"/>
      <c r="C161" s="255"/>
      <c r="D161" s="255"/>
      <c r="E161" s="256"/>
      <c r="F161" s="256"/>
      <c r="G161" s="255"/>
      <c r="H161" s="255"/>
      <c r="I161" s="257"/>
      <c r="J161" s="255"/>
      <c r="K161" s="256"/>
      <c r="L161" s="255"/>
      <c r="M161" s="255"/>
      <c r="N161" s="255"/>
    </row>
    <row r="162" spans="2:14" x14ac:dyDescent="0.2">
      <c r="B162" s="255"/>
      <c r="C162" s="255"/>
      <c r="D162" s="255"/>
      <c r="E162" s="256"/>
      <c r="F162" s="256"/>
      <c r="G162" s="255"/>
      <c r="H162" s="255"/>
      <c r="I162" s="257"/>
      <c r="J162" s="255"/>
      <c r="K162" s="256"/>
      <c r="L162" s="255"/>
      <c r="M162" s="255"/>
      <c r="N162" s="255"/>
    </row>
    <row r="163" spans="2:14" x14ac:dyDescent="0.2">
      <c r="B163" s="255"/>
      <c r="C163" s="255"/>
      <c r="D163" s="255"/>
      <c r="E163" s="256"/>
      <c r="F163" s="256"/>
      <c r="G163" s="255"/>
      <c r="H163" s="255"/>
      <c r="I163" s="257"/>
      <c r="J163" s="255"/>
      <c r="K163" s="256"/>
      <c r="L163" s="255"/>
      <c r="M163" s="255"/>
      <c r="N163" s="255"/>
    </row>
    <row r="164" spans="2:14" x14ac:dyDescent="0.2">
      <c r="B164" s="255"/>
      <c r="C164" s="255"/>
      <c r="D164" s="255"/>
      <c r="E164" s="256"/>
      <c r="F164" s="256"/>
      <c r="G164" s="255"/>
      <c r="H164" s="255"/>
      <c r="I164" s="257"/>
      <c r="J164" s="255"/>
      <c r="K164" s="256"/>
      <c r="L164" s="255"/>
      <c r="M164" s="255"/>
      <c r="N164" s="255"/>
    </row>
    <row r="165" spans="2:14" x14ac:dyDescent="0.2">
      <c r="B165" s="255"/>
      <c r="C165" s="255"/>
      <c r="D165" s="255"/>
      <c r="E165" s="256"/>
      <c r="F165" s="256"/>
      <c r="G165" s="255"/>
      <c r="H165" s="255"/>
      <c r="I165" s="257"/>
      <c r="J165" s="255"/>
      <c r="K165" s="256"/>
      <c r="L165" s="255"/>
      <c r="M165" s="255"/>
      <c r="N165" s="255"/>
    </row>
    <row r="166" spans="2:14" x14ac:dyDescent="0.2">
      <c r="B166" s="255"/>
      <c r="C166" s="255"/>
      <c r="D166" s="255"/>
      <c r="E166" s="256"/>
      <c r="F166" s="256"/>
      <c r="G166" s="255"/>
      <c r="H166" s="255"/>
      <c r="I166" s="257"/>
      <c r="J166" s="255"/>
      <c r="K166" s="256"/>
      <c r="L166" s="255"/>
      <c r="M166" s="255"/>
      <c r="N166" s="255"/>
    </row>
    <row r="167" spans="2:14" x14ac:dyDescent="0.2">
      <c r="B167" s="255"/>
      <c r="C167" s="255"/>
      <c r="D167" s="255"/>
      <c r="E167" s="256"/>
      <c r="F167" s="256"/>
      <c r="G167" s="255"/>
      <c r="H167" s="255"/>
      <c r="I167" s="257"/>
      <c r="J167" s="255"/>
      <c r="K167" s="256"/>
      <c r="L167" s="255"/>
      <c r="M167" s="255"/>
      <c r="N167" s="255"/>
    </row>
    <row r="168" spans="2:14" x14ac:dyDescent="0.2">
      <c r="B168" s="255"/>
      <c r="C168" s="255"/>
      <c r="D168" s="255"/>
      <c r="E168" s="256"/>
      <c r="F168" s="256"/>
      <c r="G168" s="255"/>
      <c r="H168" s="255"/>
      <c r="I168" s="257"/>
      <c r="J168" s="255"/>
      <c r="K168" s="256"/>
      <c r="L168" s="255"/>
      <c r="M168" s="255"/>
      <c r="N168" s="255"/>
    </row>
    <row r="169" spans="2:14" x14ac:dyDescent="0.2">
      <c r="B169" s="255"/>
      <c r="C169" s="255"/>
      <c r="D169" s="255"/>
      <c r="E169" s="256"/>
      <c r="F169" s="256"/>
      <c r="G169" s="255"/>
      <c r="H169" s="255"/>
      <c r="I169" s="257"/>
      <c r="J169" s="255"/>
      <c r="K169" s="256"/>
      <c r="L169" s="255"/>
      <c r="M169" s="255"/>
      <c r="N169" s="255"/>
    </row>
    <row r="170" spans="2:14" x14ac:dyDescent="0.2">
      <c r="B170" s="255"/>
      <c r="C170" s="255"/>
      <c r="D170" s="255"/>
      <c r="E170" s="256"/>
      <c r="F170" s="256"/>
      <c r="G170" s="255"/>
      <c r="H170" s="255"/>
      <c r="I170" s="257"/>
      <c r="J170" s="255"/>
      <c r="K170" s="256"/>
      <c r="L170" s="255"/>
      <c r="M170" s="255"/>
      <c r="N170" s="255"/>
    </row>
    <row r="171" spans="2:14" x14ac:dyDescent="0.2">
      <c r="B171" s="255"/>
      <c r="C171" s="255"/>
      <c r="D171" s="255"/>
      <c r="E171" s="256"/>
      <c r="F171" s="256"/>
      <c r="G171" s="255"/>
      <c r="H171" s="255"/>
      <c r="I171" s="257"/>
      <c r="J171" s="255"/>
      <c r="K171" s="256"/>
      <c r="L171" s="255"/>
      <c r="M171" s="255"/>
      <c r="N171" s="255"/>
    </row>
    <row r="172" spans="2:14" x14ac:dyDescent="0.2">
      <c r="B172" s="255"/>
      <c r="C172" s="255"/>
      <c r="D172" s="255"/>
      <c r="E172" s="256"/>
      <c r="F172" s="256"/>
      <c r="G172" s="255"/>
      <c r="H172" s="255"/>
      <c r="I172" s="257"/>
      <c r="J172" s="255"/>
      <c r="K172" s="256"/>
      <c r="L172" s="255"/>
      <c r="M172" s="255"/>
      <c r="N172" s="255"/>
    </row>
    <row r="173" spans="2:14" x14ac:dyDescent="0.2">
      <c r="B173" s="255"/>
      <c r="C173" s="255"/>
      <c r="D173" s="255"/>
      <c r="E173" s="256"/>
      <c r="F173" s="256"/>
      <c r="G173" s="255"/>
      <c r="H173" s="255"/>
      <c r="I173" s="257"/>
      <c r="J173" s="255"/>
      <c r="K173" s="256"/>
      <c r="L173" s="255"/>
      <c r="M173" s="255"/>
      <c r="N173" s="255"/>
    </row>
    <row r="174" spans="2:14" x14ac:dyDescent="0.2">
      <c r="B174" s="255"/>
      <c r="C174" s="255"/>
      <c r="D174" s="255"/>
      <c r="E174" s="256"/>
      <c r="F174" s="256"/>
      <c r="G174" s="255"/>
      <c r="H174" s="255"/>
      <c r="I174" s="257"/>
      <c r="J174" s="255"/>
      <c r="K174" s="256"/>
      <c r="L174" s="255"/>
      <c r="M174" s="255"/>
      <c r="N174" s="255"/>
    </row>
    <row r="175" spans="2:14" x14ac:dyDescent="0.2">
      <c r="B175" s="255"/>
      <c r="C175" s="255"/>
      <c r="D175" s="255"/>
      <c r="E175" s="256"/>
      <c r="F175" s="256"/>
      <c r="G175" s="255"/>
      <c r="H175" s="255"/>
      <c r="I175" s="257"/>
      <c r="J175" s="255"/>
      <c r="K175" s="256"/>
      <c r="L175" s="255"/>
      <c r="M175" s="255"/>
      <c r="N175" s="255"/>
    </row>
    <row r="176" spans="2:14" x14ac:dyDescent="0.2">
      <c r="B176" s="255"/>
      <c r="C176" s="255"/>
      <c r="D176" s="255"/>
      <c r="E176" s="256"/>
      <c r="F176" s="256"/>
      <c r="G176" s="255"/>
      <c r="H176" s="255"/>
      <c r="I176" s="257"/>
      <c r="J176" s="255"/>
      <c r="K176" s="256"/>
      <c r="L176" s="255"/>
      <c r="M176" s="255"/>
      <c r="N176" s="255"/>
    </row>
    <row r="177" spans="2:14" x14ac:dyDescent="0.2">
      <c r="B177" s="255"/>
      <c r="C177" s="255"/>
      <c r="D177" s="255"/>
      <c r="E177" s="256"/>
      <c r="F177" s="256"/>
      <c r="G177" s="255"/>
      <c r="H177" s="255"/>
      <c r="I177" s="257"/>
      <c r="J177" s="255"/>
      <c r="K177" s="256"/>
      <c r="L177" s="255"/>
      <c r="M177" s="255"/>
      <c r="N177" s="255"/>
    </row>
    <row r="178" spans="2:14" x14ac:dyDescent="0.2">
      <c r="B178" s="255"/>
      <c r="C178" s="255"/>
      <c r="D178" s="255"/>
      <c r="E178" s="256"/>
      <c r="F178" s="256"/>
      <c r="G178" s="255"/>
      <c r="H178" s="255"/>
      <c r="I178" s="257"/>
      <c r="J178" s="255"/>
      <c r="K178" s="256"/>
      <c r="L178" s="255"/>
      <c r="M178" s="255"/>
      <c r="N178" s="255"/>
    </row>
    <row r="179" spans="2:14" x14ac:dyDescent="0.2">
      <c r="B179" s="255"/>
      <c r="C179" s="255"/>
      <c r="D179" s="255"/>
      <c r="E179" s="256"/>
      <c r="F179" s="256"/>
      <c r="G179" s="255"/>
      <c r="H179" s="255"/>
      <c r="I179" s="257"/>
      <c r="J179" s="255"/>
      <c r="K179" s="256"/>
      <c r="L179" s="255"/>
      <c r="M179" s="255"/>
      <c r="N179" s="255"/>
    </row>
    <row r="180" spans="2:14" x14ac:dyDescent="0.2">
      <c r="B180" s="255"/>
      <c r="C180" s="255"/>
      <c r="D180" s="255"/>
      <c r="E180" s="256"/>
      <c r="F180" s="256"/>
      <c r="G180" s="255"/>
      <c r="H180" s="255"/>
      <c r="I180" s="257"/>
      <c r="J180" s="255"/>
      <c r="K180" s="256"/>
      <c r="L180" s="255"/>
      <c r="M180" s="255"/>
      <c r="N180" s="255"/>
    </row>
    <row r="181" spans="2:14" x14ac:dyDescent="0.2">
      <c r="B181" s="255"/>
      <c r="C181" s="255"/>
      <c r="D181" s="255"/>
      <c r="E181" s="256"/>
      <c r="F181" s="256"/>
      <c r="G181" s="255"/>
      <c r="H181" s="255"/>
      <c r="I181" s="257"/>
      <c r="J181" s="255"/>
      <c r="K181" s="256"/>
      <c r="L181" s="255"/>
      <c r="M181" s="255"/>
      <c r="N181" s="255"/>
    </row>
    <row r="182" spans="2:14" x14ac:dyDescent="0.2">
      <c r="B182" s="255"/>
      <c r="C182" s="255"/>
      <c r="D182" s="255"/>
      <c r="E182" s="256"/>
      <c r="F182" s="256"/>
      <c r="G182" s="255"/>
      <c r="H182" s="255"/>
      <c r="I182" s="257"/>
      <c r="J182" s="255"/>
      <c r="K182" s="256"/>
      <c r="L182" s="255"/>
      <c r="M182" s="255"/>
      <c r="N182" s="255"/>
    </row>
    <row r="183" spans="2:14" x14ac:dyDescent="0.2">
      <c r="B183" s="255"/>
      <c r="C183" s="255"/>
      <c r="D183" s="255"/>
      <c r="E183" s="256"/>
      <c r="F183" s="256"/>
      <c r="G183" s="255"/>
      <c r="H183" s="255"/>
      <c r="I183" s="257"/>
      <c r="J183" s="255"/>
      <c r="K183" s="256"/>
      <c r="L183" s="255"/>
      <c r="M183" s="255"/>
      <c r="N183" s="255"/>
    </row>
    <row r="184" spans="2:14" x14ac:dyDescent="0.2">
      <c r="B184" s="255"/>
      <c r="C184" s="255"/>
      <c r="D184" s="255"/>
      <c r="E184" s="256"/>
      <c r="F184" s="256"/>
      <c r="G184" s="255"/>
      <c r="H184" s="255"/>
      <c r="I184" s="257"/>
      <c r="J184" s="255"/>
      <c r="K184" s="256"/>
      <c r="L184" s="255"/>
      <c r="M184" s="255"/>
      <c r="N184" s="255"/>
    </row>
    <row r="185" spans="2:14" x14ac:dyDescent="0.2">
      <c r="B185" s="255"/>
      <c r="C185" s="255"/>
      <c r="D185" s="255"/>
      <c r="E185" s="256"/>
      <c r="F185" s="256"/>
      <c r="G185" s="255"/>
      <c r="H185" s="255"/>
      <c r="I185" s="257"/>
      <c r="J185" s="255"/>
      <c r="K185" s="256"/>
      <c r="L185" s="255"/>
      <c r="M185" s="255"/>
      <c r="N185" s="255"/>
    </row>
    <row r="186" spans="2:14" x14ac:dyDescent="0.2">
      <c r="B186" s="255"/>
      <c r="C186" s="255"/>
      <c r="D186" s="255"/>
      <c r="E186" s="256"/>
      <c r="F186" s="256"/>
      <c r="G186" s="255"/>
      <c r="H186" s="255"/>
      <c r="I186" s="257"/>
      <c r="J186" s="255"/>
      <c r="K186" s="256"/>
      <c r="L186" s="255"/>
      <c r="M186" s="255"/>
      <c r="N186" s="255"/>
    </row>
    <row r="187" spans="2:14" x14ac:dyDescent="0.2">
      <c r="B187" s="255"/>
      <c r="C187" s="255"/>
      <c r="D187" s="255"/>
      <c r="E187" s="256"/>
      <c r="F187" s="256"/>
      <c r="G187" s="255"/>
      <c r="H187" s="255"/>
      <c r="I187" s="257"/>
      <c r="J187" s="255"/>
      <c r="K187" s="256"/>
      <c r="L187" s="255"/>
      <c r="M187" s="255"/>
      <c r="N187" s="255"/>
    </row>
    <row r="188" spans="2:14" x14ac:dyDescent="0.2">
      <c r="B188" s="255"/>
      <c r="C188" s="255"/>
      <c r="D188" s="255"/>
      <c r="E188" s="256"/>
      <c r="F188" s="256"/>
      <c r="G188" s="255"/>
      <c r="H188" s="255"/>
      <c r="I188" s="257"/>
      <c r="J188" s="255"/>
      <c r="K188" s="256"/>
      <c r="L188" s="255"/>
      <c r="M188" s="255"/>
      <c r="N188" s="255"/>
    </row>
    <row r="189" spans="2:14" x14ac:dyDescent="0.2">
      <c r="B189" s="255"/>
      <c r="C189" s="255"/>
      <c r="D189" s="255"/>
      <c r="E189" s="256"/>
      <c r="F189" s="256"/>
      <c r="G189" s="255"/>
      <c r="H189" s="255"/>
      <c r="I189" s="257"/>
      <c r="J189" s="255"/>
      <c r="K189" s="256"/>
      <c r="L189" s="255"/>
      <c r="M189" s="255"/>
      <c r="N189" s="255"/>
    </row>
    <row r="190" spans="2:14" x14ac:dyDescent="0.2">
      <c r="B190" s="255"/>
      <c r="C190" s="255"/>
      <c r="D190" s="255"/>
      <c r="E190" s="256"/>
      <c r="F190" s="256"/>
      <c r="G190" s="255"/>
      <c r="H190" s="255"/>
      <c r="I190" s="257"/>
      <c r="J190" s="255"/>
      <c r="K190" s="256"/>
      <c r="L190" s="255"/>
      <c r="M190" s="255"/>
      <c r="N190" s="255"/>
    </row>
    <row r="191" spans="2:14" x14ac:dyDescent="0.2">
      <c r="B191" s="255"/>
      <c r="C191" s="255"/>
      <c r="D191" s="255"/>
      <c r="E191" s="256"/>
      <c r="F191" s="256"/>
      <c r="G191" s="255"/>
      <c r="H191" s="255"/>
      <c r="I191" s="257"/>
      <c r="J191" s="255"/>
      <c r="K191" s="256"/>
      <c r="L191" s="255"/>
      <c r="M191" s="255"/>
      <c r="N191" s="255"/>
    </row>
    <row r="192" spans="2:14" x14ac:dyDescent="0.2">
      <c r="B192" s="255"/>
      <c r="C192" s="255"/>
      <c r="D192" s="255"/>
      <c r="E192" s="256"/>
      <c r="F192" s="256"/>
      <c r="G192" s="255"/>
      <c r="H192" s="255"/>
      <c r="I192" s="257"/>
      <c r="J192" s="255"/>
      <c r="K192" s="256"/>
      <c r="L192" s="255"/>
      <c r="M192" s="255"/>
      <c r="N192" s="255"/>
    </row>
    <row r="193" spans="2:14" x14ac:dyDescent="0.2">
      <c r="B193" s="255"/>
      <c r="C193" s="255"/>
      <c r="D193" s="255"/>
      <c r="E193" s="256"/>
      <c r="F193" s="256"/>
      <c r="G193" s="255"/>
      <c r="H193" s="255"/>
      <c r="I193" s="257"/>
      <c r="J193" s="255"/>
      <c r="K193" s="256"/>
      <c r="L193" s="255"/>
      <c r="M193" s="255"/>
      <c r="N193" s="255"/>
    </row>
    <row r="194" spans="2:14" x14ac:dyDescent="0.2">
      <c r="B194" s="255"/>
      <c r="C194" s="255"/>
      <c r="D194" s="255"/>
      <c r="E194" s="256"/>
      <c r="F194" s="256"/>
      <c r="G194" s="255"/>
      <c r="H194" s="255"/>
      <c r="I194" s="257"/>
      <c r="J194" s="255"/>
      <c r="K194" s="256"/>
      <c r="L194" s="255"/>
      <c r="M194" s="255"/>
      <c r="N194" s="255"/>
    </row>
    <row r="195" spans="2:14" x14ac:dyDescent="0.2">
      <c r="B195" s="255"/>
      <c r="C195" s="255"/>
      <c r="D195" s="255"/>
      <c r="E195" s="256"/>
      <c r="F195" s="256"/>
      <c r="G195" s="255"/>
      <c r="H195" s="255"/>
      <c r="I195" s="257"/>
      <c r="J195" s="255"/>
      <c r="K195" s="256"/>
      <c r="L195" s="255"/>
      <c r="M195" s="255"/>
      <c r="N195" s="255"/>
    </row>
    <row r="196" spans="2:14" x14ac:dyDescent="0.2">
      <c r="B196" s="255"/>
      <c r="C196" s="255"/>
      <c r="D196" s="255"/>
      <c r="E196" s="256"/>
      <c r="F196" s="256"/>
      <c r="G196" s="255"/>
      <c r="H196" s="255"/>
      <c r="I196" s="257"/>
      <c r="J196" s="255"/>
      <c r="K196" s="256"/>
      <c r="L196" s="255"/>
      <c r="M196" s="255"/>
      <c r="N196" s="255"/>
    </row>
    <row r="197" spans="2:14" x14ac:dyDescent="0.2">
      <c r="B197" s="255"/>
      <c r="C197" s="255"/>
      <c r="D197" s="255"/>
      <c r="E197" s="256"/>
      <c r="F197" s="256"/>
      <c r="G197" s="255"/>
      <c r="H197" s="255"/>
      <c r="I197" s="257"/>
      <c r="J197" s="255"/>
      <c r="K197" s="256"/>
      <c r="L197" s="255"/>
      <c r="M197" s="255"/>
      <c r="N197" s="255"/>
    </row>
    <row r="198" spans="2:14" x14ac:dyDescent="0.2">
      <c r="B198" s="255"/>
      <c r="C198" s="255"/>
      <c r="D198" s="255"/>
      <c r="E198" s="256"/>
      <c r="F198" s="256"/>
      <c r="G198" s="255"/>
      <c r="H198" s="255"/>
      <c r="I198" s="257"/>
      <c r="J198" s="255"/>
      <c r="K198" s="256"/>
      <c r="L198" s="255"/>
      <c r="M198" s="255"/>
      <c r="N198" s="255"/>
    </row>
    <row r="199" spans="2:14" x14ac:dyDescent="0.2">
      <c r="B199" s="255"/>
      <c r="C199" s="255"/>
      <c r="D199" s="255"/>
      <c r="E199" s="256"/>
      <c r="F199" s="256"/>
      <c r="G199" s="255"/>
      <c r="H199" s="255"/>
      <c r="I199" s="257"/>
      <c r="J199" s="255"/>
      <c r="K199" s="256"/>
      <c r="L199" s="255"/>
      <c r="M199" s="255"/>
      <c r="N199" s="255"/>
    </row>
    <row r="200" spans="2:14" x14ac:dyDescent="0.2">
      <c r="B200" s="255"/>
      <c r="C200" s="255"/>
      <c r="D200" s="255"/>
      <c r="E200" s="256"/>
      <c r="F200" s="256"/>
      <c r="G200" s="255"/>
      <c r="H200" s="255"/>
      <c r="I200" s="257"/>
      <c r="J200" s="255"/>
      <c r="K200" s="256"/>
      <c r="L200" s="255"/>
      <c r="M200" s="255"/>
      <c r="N200" s="255"/>
    </row>
    <row r="201" spans="2:14" x14ac:dyDescent="0.2">
      <c r="B201" s="255"/>
      <c r="C201" s="255"/>
      <c r="D201" s="255"/>
      <c r="E201" s="256"/>
      <c r="F201" s="256"/>
      <c r="G201" s="255"/>
      <c r="H201" s="255"/>
      <c r="I201" s="257"/>
      <c r="J201" s="255"/>
      <c r="K201" s="256"/>
      <c r="L201" s="255"/>
      <c r="M201" s="255"/>
      <c r="N201" s="255"/>
    </row>
    <row r="202" spans="2:14" x14ac:dyDescent="0.2">
      <c r="B202" s="255"/>
      <c r="C202" s="255"/>
      <c r="D202" s="255"/>
      <c r="E202" s="256"/>
      <c r="F202" s="256"/>
      <c r="G202" s="255"/>
      <c r="H202" s="255"/>
      <c r="I202" s="257"/>
      <c r="J202" s="255"/>
      <c r="K202" s="256"/>
      <c r="L202" s="255"/>
      <c r="M202" s="255"/>
      <c r="N202" s="255"/>
    </row>
    <row r="203" spans="2:14" x14ac:dyDescent="0.2">
      <c r="B203" s="255"/>
      <c r="C203" s="255"/>
      <c r="D203" s="255"/>
      <c r="E203" s="256"/>
      <c r="F203" s="256"/>
      <c r="G203" s="255"/>
      <c r="H203" s="255"/>
      <c r="I203" s="257"/>
      <c r="J203" s="255"/>
      <c r="K203" s="256"/>
      <c r="L203" s="255"/>
      <c r="M203" s="255"/>
      <c r="N203" s="255"/>
    </row>
    <row r="204" spans="2:14" x14ac:dyDescent="0.2">
      <c r="B204" s="255"/>
      <c r="C204" s="255"/>
      <c r="D204" s="255"/>
      <c r="E204" s="256"/>
      <c r="F204" s="256"/>
      <c r="G204" s="255"/>
      <c r="H204" s="255"/>
      <c r="I204" s="257"/>
      <c r="J204" s="255"/>
      <c r="K204" s="256"/>
      <c r="L204" s="255"/>
      <c r="M204" s="255"/>
      <c r="N204" s="255"/>
    </row>
    <row r="205" spans="2:14" x14ac:dyDescent="0.2">
      <c r="B205" s="255"/>
      <c r="C205" s="255"/>
      <c r="D205" s="255"/>
      <c r="E205" s="256"/>
      <c r="F205" s="256"/>
      <c r="G205" s="255"/>
      <c r="H205" s="255"/>
      <c r="I205" s="257"/>
      <c r="J205" s="255"/>
      <c r="K205" s="256"/>
      <c r="L205" s="255"/>
      <c r="M205" s="255"/>
      <c r="N205" s="255"/>
    </row>
    <row r="206" spans="2:14" x14ac:dyDescent="0.2">
      <c r="B206" s="255"/>
      <c r="C206" s="255"/>
      <c r="D206" s="255"/>
      <c r="E206" s="256"/>
      <c r="F206" s="256"/>
      <c r="G206" s="255"/>
      <c r="H206" s="255"/>
      <c r="I206" s="257"/>
      <c r="J206" s="255"/>
      <c r="K206" s="256"/>
      <c r="L206" s="255"/>
      <c r="M206" s="255"/>
      <c r="N206" s="255"/>
    </row>
    <row r="207" spans="2:14" x14ac:dyDescent="0.2">
      <c r="B207" s="255"/>
      <c r="C207" s="255"/>
      <c r="D207" s="255"/>
      <c r="E207" s="256"/>
      <c r="F207" s="256"/>
      <c r="G207" s="255"/>
      <c r="H207" s="255"/>
      <c r="I207" s="257"/>
      <c r="J207" s="255"/>
      <c r="K207" s="256"/>
      <c r="L207" s="255"/>
      <c r="M207" s="255"/>
      <c r="N207" s="255"/>
    </row>
    <row r="208" spans="2:14" x14ac:dyDescent="0.2">
      <c r="B208" s="255"/>
      <c r="C208" s="255"/>
      <c r="D208" s="255"/>
      <c r="E208" s="256"/>
      <c r="F208" s="256"/>
      <c r="G208" s="255"/>
      <c r="H208" s="255"/>
      <c r="I208" s="257"/>
      <c r="J208" s="255"/>
      <c r="K208" s="256"/>
      <c r="L208" s="255"/>
      <c r="M208" s="255"/>
      <c r="N208" s="255"/>
    </row>
    <row r="209" spans="2:14" x14ac:dyDescent="0.2">
      <c r="B209" s="255"/>
      <c r="C209" s="255"/>
      <c r="D209" s="255"/>
      <c r="E209" s="256"/>
      <c r="F209" s="256"/>
      <c r="G209" s="255"/>
      <c r="H209" s="255"/>
      <c r="I209" s="257"/>
      <c r="J209" s="255"/>
      <c r="K209" s="256"/>
      <c r="L209" s="255"/>
      <c r="M209" s="255"/>
      <c r="N209" s="255"/>
    </row>
    <row r="210" spans="2:14" x14ac:dyDescent="0.2">
      <c r="B210" s="255"/>
      <c r="C210" s="255"/>
      <c r="D210" s="255"/>
      <c r="E210" s="256"/>
      <c r="F210" s="256"/>
      <c r="G210" s="255"/>
      <c r="H210" s="255"/>
      <c r="I210" s="257"/>
      <c r="J210" s="255"/>
      <c r="K210" s="256"/>
      <c r="L210" s="255"/>
      <c r="M210" s="255"/>
      <c r="N210" s="255"/>
    </row>
    <row r="211" spans="2:14" x14ac:dyDescent="0.2">
      <c r="B211" s="255"/>
      <c r="C211" s="255"/>
      <c r="D211" s="255"/>
      <c r="E211" s="256"/>
      <c r="F211" s="256"/>
      <c r="G211" s="255"/>
      <c r="H211" s="255"/>
      <c r="I211" s="257"/>
      <c r="J211" s="255"/>
      <c r="K211" s="256"/>
      <c r="L211" s="255"/>
      <c r="M211" s="255"/>
      <c r="N211" s="255"/>
    </row>
    <row r="212" spans="2:14" x14ac:dyDescent="0.2">
      <c r="B212" s="255"/>
      <c r="C212" s="255"/>
      <c r="D212" s="255"/>
      <c r="E212" s="256"/>
      <c r="F212" s="256"/>
      <c r="G212" s="255"/>
      <c r="H212" s="255"/>
      <c r="I212" s="257"/>
      <c r="J212" s="255"/>
      <c r="K212" s="256"/>
      <c r="L212" s="255"/>
      <c r="M212" s="255"/>
      <c r="N212" s="255"/>
    </row>
    <row r="213" spans="2:14" x14ac:dyDescent="0.2">
      <c r="B213" s="255"/>
      <c r="C213" s="255"/>
      <c r="D213" s="255"/>
      <c r="E213" s="256"/>
      <c r="F213" s="256"/>
      <c r="G213" s="255"/>
      <c r="H213" s="255"/>
      <c r="I213" s="257"/>
      <c r="J213" s="255"/>
      <c r="K213" s="256"/>
      <c r="L213" s="255"/>
      <c r="M213" s="255"/>
      <c r="N213" s="255"/>
    </row>
    <row r="214" spans="2:14" x14ac:dyDescent="0.2">
      <c r="B214" s="255"/>
      <c r="C214" s="255"/>
      <c r="D214" s="255"/>
      <c r="E214" s="256"/>
      <c r="F214" s="256"/>
      <c r="G214" s="255"/>
      <c r="H214" s="255"/>
      <c r="I214" s="257"/>
      <c r="J214" s="255"/>
      <c r="K214" s="256"/>
      <c r="L214" s="255"/>
      <c r="M214" s="255"/>
      <c r="N214" s="255"/>
    </row>
    <row r="215" spans="2:14" x14ac:dyDescent="0.2">
      <c r="B215" s="255"/>
      <c r="C215" s="255"/>
      <c r="D215" s="255"/>
      <c r="E215" s="256"/>
      <c r="F215" s="256"/>
      <c r="G215" s="255"/>
      <c r="H215" s="255"/>
      <c r="I215" s="257"/>
      <c r="J215" s="255"/>
      <c r="K215" s="256"/>
      <c r="L215" s="255"/>
      <c r="M215" s="255"/>
      <c r="N215" s="255"/>
    </row>
    <row r="216" spans="2:14" x14ac:dyDescent="0.2">
      <c r="B216" s="255"/>
      <c r="C216" s="255"/>
      <c r="D216" s="255"/>
      <c r="E216" s="256"/>
      <c r="F216" s="256"/>
      <c r="G216" s="255"/>
      <c r="H216" s="255"/>
      <c r="I216" s="257"/>
      <c r="J216" s="255"/>
      <c r="K216" s="256"/>
      <c r="L216" s="255"/>
      <c r="M216" s="255"/>
      <c r="N216" s="255"/>
    </row>
    <row r="217" spans="2:14" x14ac:dyDescent="0.2">
      <c r="B217" s="255"/>
      <c r="C217" s="255"/>
      <c r="D217" s="255"/>
      <c r="E217" s="256"/>
      <c r="F217" s="256"/>
      <c r="G217" s="255"/>
      <c r="H217" s="255"/>
      <c r="I217" s="257"/>
      <c r="J217" s="255"/>
      <c r="K217" s="256"/>
      <c r="L217" s="255"/>
      <c r="M217" s="255"/>
      <c r="N217" s="255"/>
    </row>
    <row r="218" spans="2:14" x14ac:dyDescent="0.2">
      <c r="B218" s="255"/>
      <c r="C218" s="255"/>
      <c r="D218" s="255"/>
      <c r="E218" s="256"/>
      <c r="F218" s="256"/>
      <c r="G218" s="255"/>
      <c r="H218" s="255"/>
      <c r="I218" s="257"/>
      <c r="J218" s="255"/>
      <c r="K218" s="256"/>
      <c r="L218" s="255"/>
      <c r="M218" s="255"/>
      <c r="N218" s="255"/>
    </row>
    <row r="219" spans="2:14" x14ac:dyDescent="0.2">
      <c r="B219" s="255"/>
      <c r="C219" s="255"/>
      <c r="D219" s="255"/>
      <c r="E219" s="256"/>
      <c r="F219" s="256"/>
      <c r="G219" s="255"/>
      <c r="H219" s="255"/>
      <c r="I219" s="257"/>
      <c r="J219" s="255"/>
      <c r="K219" s="256"/>
      <c r="L219" s="255"/>
      <c r="M219" s="255"/>
      <c r="N219" s="255"/>
    </row>
    <row r="220" spans="2:14" x14ac:dyDescent="0.2">
      <c r="B220" s="255"/>
      <c r="C220" s="255"/>
      <c r="D220" s="255"/>
      <c r="E220" s="256"/>
      <c r="F220" s="256"/>
      <c r="G220" s="255"/>
      <c r="H220" s="255"/>
      <c r="I220" s="257"/>
      <c r="J220" s="255"/>
      <c r="K220" s="256"/>
      <c r="L220" s="255"/>
      <c r="M220" s="255"/>
      <c r="N220" s="255"/>
    </row>
    <row r="221" spans="2:14" x14ac:dyDescent="0.2">
      <c r="B221" s="255"/>
      <c r="C221" s="255"/>
      <c r="D221" s="255"/>
      <c r="E221" s="256"/>
      <c r="F221" s="256"/>
      <c r="G221" s="255"/>
      <c r="H221" s="255"/>
      <c r="I221" s="257"/>
      <c r="J221" s="255"/>
      <c r="K221" s="256"/>
      <c r="L221" s="255"/>
      <c r="M221" s="255"/>
      <c r="N221" s="255"/>
    </row>
    <row r="222" spans="2:14" x14ac:dyDescent="0.2">
      <c r="B222" s="255"/>
      <c r="C222" s="255"/>
      <c r="D222" s="255"/>
      <c r="E222" s="256"/>
      <c r="F222" s="256"/>
      <c r="G222" s="255"/>
      <c r="H222" s="255"/>
      <c r="I222" s="257"/>
      <c r="J222" s="255"/>
      <c r="K222" s="256"/>
      <c r="L222" s="255"/>
      <c r="M222" s="255"/>
      <c r="N222" s="255"/>
    </row>
    <row r="223" spans="2:14" x14ac:dyDescent="0.2">
      <c r="B223" s="255"/>
      <c r="C223" s="255"/>
      <c r="D223" s="255"/>
      <c r="E223" s="256"/>
      <c r="F223" s="256"/>
      <c r="G223" s="255"/>
      <c r="H223" s="255"/>
      <c r="I223" s="257"/>
      <c r="J223" s="255"/>
      <c r="K223" s="256"/>
      <c r="L223" s="255"/>
      <c r="M223" s="255"/>
      <c r="N223" s="255"/>
    </row>
    <row r="224" spans="2:14" x14ac:dyDescent="0.2">
      <c r="B224" s="255"/>
      <c r="C224" s="255"/>
      <c r="D224" s="255"/>
      <c r="E224" s="256"/>
      <c r="F224" s="256"/>
      <c r="G224" s="255"/>
      <c r="H224" s="255"/>
      <c r="I224" s="257"/>
      <c r="J224" s="255"/>
      <c r="K224" s="256"/>
      <c r="L224" s="255"/>
      <c r="M224" s="255"/>
      <c r="N224" s="255"/>
    </row>
    <row r="225" spans="2:14" x14ac:dyDescent="0.2">
      <c r="B225" s="255"/>
      <c r="C225" s="255"/>
      <c r="D225" s="255"/>
      <c r="E225" s="256"/>
      <c r="F225" s="256"/>
      <c r="G225" s="255"/>
      <c r="H225" s="255"/>
      <c r="I225" s="257"/>
      <c r="J225" s="255"/>
      <c r="K225" s="256"/>
      <c r="L225" s="255"/>
      <c r="M225" s="255"/>
      <c r="N225" s="255"/>
    </row>
    <row r="226" spans="2:14" x14ac:dyDescent="0.2">
      <c r="B226" s="255"/>
      <c r="C226" s="255"/>
      <c r="D226" s="255"/>
      <c r="E226" s="256"/>
      <c r="F226" s="256"/>
      <c r="G226" s="255"/>
      <c r="H226" s="255"/>
      <c r="I226" s="257"/>
      <c r="J226" s="255"/>
      <c r="K226" s="256"/>
      <c r="L226" s="255"/>
      <c r="M226" s="255"/>
      <c r="N226" s="255"/>
    </row>
    <row r="227" spans="2:14" x14ac:dyDescent="0.2">
      <c r="B227" s="255"/>
      <c r="C227" s="255"/>
      <c r="D227" s="255"/>
      <c r="E227" s="256"/>
      <c r="F227" s="256"/>
      <c r="G227" s="255"/>
      <c r="H227" s="255"/>
      <c r="I227" s="257"/>
      <c r="J227" s="255"/>
      <c r="K227" s="256"/>
      <c r="L227" s="255"/>
      <c r="M227" s="255"/>
      <c r="N227" s="255"/>
    </row>
    <row r="228" spans="2:14" x14ac:dyDescent="0.2">
      <c r="B228" s="255"/>
      <c r="C228" s="255"/>
      <c r="D228" s="255"/>
      <c r="E228" s="256"/>
      <c r="F228" s="256"/>
      <c r="G228" s="255"/>
      <c r="H228" s="255"/>
      <c r="I228" s="257"/>
      <c r="J228" s="255"/>
      <c r="K228" s="256"/>
      <c r="L228" s="255"/>
      <c r="M228" s="255"/>
      <c r="N228" s="255"/>
    </row>
    <row r="229" spans="2:14" x14ac:dyDescent="0.2">
      <c r="B229" s="255"/>
      <c r="C229" s="255"/>
      <c r="D229" s="255"/>
      <c r="E229" s="256"/>
      <c r="F229" s="256"/>
      <c r="G229" s="255"/>
      <c r="H229" s="255"/>
      <c r="I229" s="257"/>
      <c r="J229" s="255"/>
      <c r="K229" s="256"/>
      <c r="L229" s="255"/>
      <c r="M229" s="255"/>
      <c r="N229" s="255"/>
    </row>
    <row r="230" spans="2:14" x14ac:dyDescent="0.2">
      <c r="B230" s="255"/>
      <c r="C230" s="255"/>
      <c r="D230" s="255"/>
      <c r="E230" s="256"/>
      <c r="F230" s="256"/>
      <c r="G230" s="255"/>
      <c r="H230" s="255"/>
      <c r="I230" s="257"/>
      <c r="J230" s="255"/>
      <c r="K230" s="256"/>
      <c r="L230" s="255"/>
      <c r="M230" s="255"/>
      <c r="N230" s="255"/>
    </row>
    <row r="231" spans="2:14" x14ac:dyDescent="0.2">
      <c r="B231" s="255"/>
      <c r="C231" s="255"/>
      <c r="D231" s="255"/>
      <c r="E231" s="256"/>
      <c r="F231" s="256"/>
      <c r="G231" s="255"/>
      <c r="H231" s="255"/>
      <c r="I231" s="257"/>
      <c r="J231" s="255"/>
      <c r="K231" s="256"/>
      <c r="L231" s="255"/>
      <c r="M231" s="255"/>
      <c r="N231" s="255"/>
    </row>
    <row r="232" spans="2:14" x14ac:dyDescent="0.2">
      <c r="B232" s="255"/>
      <c r="C232" s="255"/>
      <c r="D232" s="255"/>
      <c r="E232" s="256"/>
      <c r="F232" s="256"/>
      <c r="G232" s="255"/>
      <c r="H232" s="255"/>
      <c r="I232" s="257"/>
      <c r="J232" s="255"/>
      <c r="K232" s="256"/>
      <c r="L232" s="255"/>
      <c r="M232" s="255"/>
      <c r="N232" s="255"/>
    </row>
    <row r="233" spans="2:14" x14ac:dyDescent="0.2">
      <c r="B233" s="255"/>
      <c r="C233" s="255"/>
      <c r="D233" s="255"/>
      <c r="E233" s="256"/>
      <c r="F233" s="256"/>
      <c r="G233" s="255"/>
      <c r="H233" s="255"/>
      <c r="I233" s="257"/>
      <c r="J233" s="255"/>
      <c r="K233" s="256"/>
      <c r="L233" s="255"/>
      <c r="M233" s="255"/>
      <c r="N233" s="255"/>
    </row>
    <row r="234" spans="2:14" x14ac:dyDescent="0.2">
      <c r="B234" s="255"/>
      <c r="C234" s="255"/>
      <c r="D234" s="255"/>
      <c r="E234" s="256"/>
      <c r="F234" s="256"/>
      <c r="G234" s="255"/>
      <c r="H234" s="255"/>
      <c r="I234" s="257"/>
      <c r="J234" s="255"/>
      <c r="K234" s="256"/>
      <c r="L234" s="255"/>
      <c r="M234" s="255"/>
      <c r="N234" s="255"/>
    </row>
    <row r="235" spans="2:14" x14ac:dyDescent="0.2">
      <c r="B235" s="255"/>
      <c r="C235" s="255"/>
      <c r="D235" s="255"/>
      <c r="E235" s="256"/>
      <c r="F235" s="256"/>
      <c r="G235" s="255"/>
      <c r="H235" s="255"/>
      <c r="I235" s="257"/>
      <c r="J235" s="255"/>
      <c r="K235" s="256"/>
      <c r="L235" s="255"/>
      <c r="M235" s="255"/>
      <c r="N235" s="255"/>
    </row>
    <row r="236" spans="2:14" x14ac:dyDescent="0.2">
      <c r="B236" s="255"/>
      <c r="C236" s="255"/>
      <c r="D236" s="255"/>
      <c r="E236" s="256"/>
      <c r="F236" s="256"/>
      <c r="G236" s="255"/>
      <c r="H236" s="255"/>
      <c r="I236" s="257"/>
      <c r="J236" s="255"/>
      <c r="K236" s="256"/>
      <c r="L236" s="255"/>
      <c r="M236" s="255"/>
      <c r="N236" s="255"/>
    </row>
    <row r="237" spans="2:14" x14ac:dyDescent="0.2">
      <c r="B237" s="255"/>
      <c r="C237" s="255"/>
      <c r="D237" s="255"/>
      <c r="E237" s="256"/>
      <c r="F237" s="256"/>
      <c r="G237" s="255"/>
      <c r="H237" s="255"/>
      <c r="I237" s="257"/>
      <c r="J237" s="255"/>
      <c r="K237" s="256"/>
      <c r="L237" s="255"/>
      <c r="M237" s="255"/>
      <c r="N237" s="255"/>
    </row>
    <row r="238" spans="2:14" x14ac:dyDescent="0.2">
      <c r="B238" s="255"/>
      <c r="C238" s="255"/>
      <c r="D238" s="255"/>
      <c r="E238" s="256"/>
      <c r="F238" s="256"/>
      <c r="G238" s="255"/>
      <c r="H238" s="255"/>
      <c r="I238" s="257"/>
      <c r="J238" s="255"/>
      <c r="K238" s="256"/>
      <c r="L238" s="255"/>
      <c r="M238" s="255"/>
      <c r="N238" s="255"/>
    </row>
    <row r="239" spans="2:14" x14ac:dyDescent="0.2">
      <c r="B239" s="255"/>
      <c r="C239" s="255"/>
      <c r="D239" s="255"/>
      <c r="E239" s="256"/>
      <c r="F239" s="256"/>
      <c r="G239" s="255"/>
      <c r="H239" s="255"/>
      <c r="I239" s="257"/>
      <c r="J239" s="255"/>
      <c r="K239" s="256"/>
      <c r="L239" s="255"/>
      <c r="M239" s="255"/>
      <c r="N239" s="255"/>
    </row>
    <row r="240" spans="2:14" x14ac:dyDescent="0.2">
      <c r="B240" s="255"/>
      <c r="C240" s="255"/>
      <c r="D240" s="255"/>
      <c r="E240" s="256"/>
      <c r="F240" s="256"/>
      <c r="G240" s="255"/>
      <c r="H240" s="255"/>
      <c r="I240" s="257"/>
      <c r="J240" s="255"/>
      <c r="K240" s="256"/>
      <c r="L240" s="255"/>
      <c r="M240" s="255"/>
      <c r="N240" s="255"/>
    </row>
    <row r="241" spans="2:14" x14ac:dyDescent="0.2">
      <c r="B241" s="255"/>
      <c r="C241" s="255"/>
      <c r="D241" s="255"/>
      <c r="E241" s="256"/>
      <c r="F241" s="256"/>
      <c r="G241" s="255"/>
      <c r="H241" s="255"/>
      <c r="I241" s="257"/>
      <c r="J241" s="255"/>
      <c r="K241" s="256"/>
      <c r="L241" s="255"/>
      <c r="M241" s="255"/>
      <c r="N241" s="255"/>
    </row>
    <row r="242" spans="2:14" x14ac:dyDescent="0.2">
      <c r="B242" s="255"/>
      <c r="C242" s="255"/>
      <c r="D242" s="255"/>
      <c r="E242" s="256"/>
      <c r="F242" s="256"/>
      <c r="G242" s="255"/>
      <c r="H242" s="255"/>
      <c r="I242" s="257"/>
      <c r="J242" s="255"/>
      <c r="K242" s="256"/>
      <c r="L242" s="255"/>
      <c r="M242" s="255"/>
      <c r="N242" s="255"/>
    </row>
    <row r="243" spans="2:14" x14ac:dyDescent="0.2">
      <c r="B243" s="255"/>
      <c r="C243" s="255"/>
      <c r="D243" s="255"/>
      <c r="E243" s="256"/>
      <c r="F243" s="256"/>
      <c r="G243" s="255"/>
      <c r="H243" s="255"/>
      <c r="I243" s="257"/>
      <c r="J243" s="255"/>
      <c r="K243" s="256"/>
      <c r="L243" s="255"/>
      <c r="M243" s="255"/>
      <c r="N243" s="255"/>
    </row>
    <row r="244" spans="2:14" x14ac:dyDescent="0.2">
      <c r="B244" s="255"/>
      <c r="C244" s="255"/>
      <c r="D244" s="255"/>
      <c r="E244" s="256"/>
      <c r="F244" s="256"/>
      <c r="G244" s="255"/>
      <c r="H244" s="255"/>
      <c r="I244" s="257"/>
      <c r="J244" s="255"/>
      <c r="K244" s="256"/>
      <c r="L244" s="255"/>
      <c r="M244" s="255"/>
      <c r="N244" s="255"/>
    </row>
    <row r="245" spans="2:14" x14ac:dyDescent="0.2">
      <c r="B245" s="255"/>
      <c r="C245" s="255"/>
      <c r="D245" s="255"/>
      <c r="E245" s="256"/>
      <c r="F245" s="256"/>
      <c r="G245" s="255"/>
      <c r="H245" s="255"/>
      <c r="I245" s="257"/>
      <c r="J245" s="255"/>
      <c r="K245" s="256"/>
      <c r="L245" s="255"/>
      <c r="M245" s="255"/>
      <c r="N245" s="255"/>
    </row>
    <row r="246" spans="2:14" x14ac:dyDescent="0.2">
      <c r="B246" s="255"/>
      <c r="C246" s="255"/>
      <c r="D246" s="255"/>
      <c r="E246" s="256"/>
      <c r="F246" s="256"/>
      <c r="G246" s="255"/>
      <c r="H246" s="255"/>
      <c r="I246" s="257"/>
      <c r="J246" s="255"/>
      <c r="K246" s="256"/>
      <c r="L246" s="255"/>
      <c r="M246" s="255"/>
      <c r="N246" s="255"/>
    </row>
    <row r="247" spans="2:14" x14ac:dyDescent="0.2">
      <c r="B247" s="255"/>
      <c r="C247" s="255"/>
      <c r="D247" s="255"/>
      <c r="E247" s="256"/>
      <c r="F247" s="256"/>
      <c r="G247" s="255"/>
      <c r="H247" s="255"/>
      <c r="I247" s="257"/>
      <c r="J247" s="255"/>
      <c r="K247" s="256"/>
      <c r="L247" s="255"/>
      <c r="M247" s="255"/>
      <c r="N247" s="255"/>
    </row>
    <row r="248" spans="2:14" x14ac:dyDescent="0.2">
      <c r="B248" s="255"/>
      <c r="C248" s="255"/>
      <c r="D248" s="255"/>
      <c r="E248" s="256"/>
      <c r="F248" s="256"/>
      <c r="G248" s="255"/>
      <c r="H248" s="255"/>
      <c r="I248" s="257"/>
      <c r="J248" s="255"/>
      <c r="K248" s="256"/>
      <c r="L248" s="255"/>
      <c r="M248" s="255"/>
      <c r="N248" s="255"/>
    </row>
    <row r="249" spans="2:14" x14ac:dyDescent="0.2">
      <c r="B249" s="255"/>
      <c r="C249" s="255"/>
      <c r="D249" s="255"/>
      <c r="E249" s="256"/>
      <c r="F249" s="256"/>
      <c r="G249" s="255"/>
      <c r="H249" s="255"/>
      <c r="I249" s="257"/>
      <c r="J249" s="255"/>
      <c r="K249" s="256"/>
      <c r="L249" s="255"/>
      <c r="M249" s="255"/>
      <c r="N249" s="255"/>
    </row>
    <row r="250" spans="2:14" x14ac:dyDescent="0.2">
      <c r="B250" s="255"/>
      <c r="C250" s="255"/>
      <c r="D250" s="255"/>
      <c r="E250" s="256"/>
      <c r="F250" s="256"/>
      <c r="G250" s="255"/>
      <c r="H250" s="255"/>
      <c r="I250" s="257"/>
      <c r="J250" s="255"/>
      <c r="K250" s="256"/>
      <c r="L250" s="255"/>
      <c r="M250" s="255"/>
      <c r="N250" s="255"/>
    </row>
    <row r="251" spans="2:14" x14ac:dyDescent="0.2">
      <c r="B251" s="255"/>
      <c r="C251" s="255"/>
      <c r="D251" s="255"/>
      <c r="E251" s="256"/>
      <c r="F251" s="256"/>
      <c r="G251" s="255"/>
      <c r="H251" s="255"/>
      <c r="I251" s="257"/>
      <c r="J251" s="255"/>
      <c r="K251" s="256"/>
      <c r="L251" s="255"/>
      <c r="M251" s="255"/>
      <c r="N251" s="255"/>
    </row>
    <row r="252" spans="2:14" x14ac:dyDescent="0.2">
      <c r="B252" s="255"/>
      <c r="C252" s="255"/>
      <c r="D252" s="255"/>
      <c r="E252" s="256"/>
      <c r="F252" s="256"/>
      <c r="G252" s="255"/>
      <c r="H252" s="255"/>
      <c r="I252" s="257"/>
      <c r="J252" s="255"/>
      <c r="K252" s="256"/>
      <c r="L252" s="255"/>
      <c r="M252" s="255"/>
      <c r="N252" s="255"/>
    </row>
    <row r="253" spans="2:14" x14ac:dyDescent="0.2">
      <c r="B253" s="255"/>
      <c r="C253" s="255"/>
      <c r="D253" s="255"/>
      <c r="E253" s="256"/>
      <c r="F253" s="256"/>
      <c r="G253" s="255"/>
      <c r="H253" s="255"/>
      <c r="I253" s="257"/>
      <c r="J253" s="255"/>
      <c r="K253" s="256"/>
      <c r="L253" s="255"/>
      <c r="M253" s="255"/>
      <c r="N253" s="255"/>
    </row>
  </sheetData>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29C75-B1C8-844F-88B4-2F2377BF1560}">
  <dimension ref="A1:I47"/>
  <sheetViews>
    <sheetView workbookViewId="0">
      <selection activeCell="H2" sqref="H2"/>
    </sheetView>
  </sheetViews>
  <sheetFormatPr defaultColWidth="39.85546875" defaultRowHeight="15" x14ac:dyDescent="0.2"/>
  <cols>
    <col min="1" max="1" width="14.42578125" style="108" customWidth="1"/>
    <col min="2" max="2" width="39.85546875" style="108"/>
    <col min="3" max="3" width="43" style="108" customWidth="1"/>
    <col min="4" max="4" width="30.85546875" style="108" customWidth="1"/>
    <col min="5" max="5" width="15.85546875" style="108" customWidth="1"/>
    <col min="6" max="6" width="15.140625" style="108" customWidth="1"/>
    <col min="7" max="7" width="25.5703125" style="108" customWidth="1"/>
    <col min="8" max="8" width="47.140625" style="108" customWidth="1"/>
    <col min="9" max="16384" width="39.85546875" style="108"/>
  </cols>
  <sheetData>
    <row r="1" spans="1:9" x14ac:dyDescent="0.2">
      <c r="A1" s="107" t="s">
        <v>3269</v>
      </c>
      <c r="B1" s="107" t="s">
        <v>42</v>
      </c>
      <c r="C1" s="107" t="s">
        <v>3525</v>
      </c>
      <c r="D1" s="107" t="s">
        <v>3283</v>
      </c>
      <c r="E1" s="107" t="s">
        <v>3526</v>
      </c>
      <c r="F1" s="107" t="s">
        <v>3527</v>
      </c>
      <c r="G1" s="107" t="s">
        <v>2439</v>
      </c>
      <c r="H1" s="107" t="s">
        <v>3528</v>
      </c>
    </row>
    <row r="2" spans="1:9" ht="60" x14ac:dyDescent="0.2">
      <c r="A2" s="267" t="s">
        <v>3355</v>
      </c>
      <c r="B2" s="119" t="s">
        <v>3355</v>
      </c>
      <c r="C2" s="119" t="s">
        <v>3356</v>
      </c>
      <c r="D2" s="112" t="s">
        <v>3529</v>
      </c>
      <c r="E2" s="112"/>
      <c r="F2" s="112"/>
      <c r="G2" s="112"/>
      <c r="H2" s="262" t="s">
        <v>3530</v>
      </c>
    </row>
    <row r="3" spans="1:9" x14ac:dyDescent="0.2">
      <c r="A3" s="112"/>
      <c r="B3" s="109"/>
      <c r="C3" s="120"/>
      <c r="D3" s="112"/>
      <c r="E3" s="112"/>
      <c r="F3" s="112"/>
      <c r="G3" s="112"/>
      <c r="H3" s="112"/>
    </row>
    <row r="4" spans="1:9" x14ac:dyDescent="0.2">
      <c r="A4" s="112"/>
      <c r="B4" s="109"/>
      <c r="C4" s="120"/>
      <c r="D4" s="112"/>
      <c r="E4" s="112"/>
      <c r="F4" s="112"/>
      <c r="G4" s="112"/>
      <c r="H4" s="112"/>
    </row>
    <row r="5" spans="1:9" ht="15.75" x14ac:dyDescent="0.2">
      <c r="A5" s="112"/>
      <c r="B5" s="109"/>
      <c r="C5" s="120"/>
      <c r="D5" s="112"/>
      <c r="E5" s="112"/>
      <c r="F5" s="112"/>
      <c r="G5" s="112"/>
      <c r="H5" s="113"/>
      <c r="I5" s="110"/>
    </row>
    <row r="6" spans="1:9" x14ac:dyDescent="0.2">
      <c r="A6" s="112"/>
      <c r="B6" s="109"/>
      <c r="C6" s="120"/>
      <c r="D6" s="112"/>
      <c r="E6" s="112"/>
      <c r="F6" s="112"/>
      <c r="G6" s="112"/>
      <c r="H6" s="109"/>
    </row>
    <row r="7" spans="1:9" x14ac:dyDescent="0.2">
      <c r="A7" s="112"/>
      <c r="B7" s="109"/>
      <c r="C7" s="120"/>
      <c r="D7" s="112"/>
      <c r="E7" s="112"/>
      <c r="F7" s="112"/>
      <c r="G7" s="112"/>
      <c r="H7" s="112"/>
    </row>
    <row r="8" spans="1:9" x14ac:dyDescent="0.2">
      <c r="A8" s="112"/>
      <c r="B8" s="109"/>
      <c r="C8" s="120"/>
      <c r="D8" s="112"/>
      <c r="E8" s="112"/>
      <c r="F8" s="112"/>
      <c r="G8" s="112"/>
      <c r="H8" s="112"/>
    </row>
    <row r="9" spans="1:9" x14ac:dyDescent="0.2">
      <c r="A9" s="112"/>
      <c r="B9" s="109"/>
      <c r="C9" s="120"/>
      <c r="D9" s="112"/>
      <c r="E9" s="112"/>
      <c r="F9" s="112"/>
      <c r="G9" s="112"/>
      <c r="H9" s="112"/>
    </row>
    <row r="10" spans="1:9" x14ac:dyDescent="0.2">
      <c r="A10" s="112"/>
      <c r="B10" s="109"/>
      <c r="C10" s="120"/>
      <c r="D10" s="112"/>
      <c r="E10" s="112"/>
      <c r="F10" s="112"/>
      <c r="G10" s="112"/>
      <c r="H10" s="112"/>
    </row>
    <row r="11" spans="1:9" x14ac:dyDescent="0.2">
      <c r="A11" s="119"/>
      <c r="B11" s="119"/>
      <c r="C11" s="120"/>
      <c r="D11" s="112"/>
      <c r="E11" s="112"/>
      <c r="F11" s="112"/>
      <c r="G11" s="112"/>
      <c r="H11" s="112"/>
    </row>
    <row r="12" spans="1:9" x14ac:dyDescent="0.2">
      <c r="A12" s="112"/>
      <c r="B12" s="109"/>
      <c r="C12" s="120"/>
      <c r="D12" s="112"/>
      <c r="E12" s="112"/>
      <c r="F12" s="112"/>
      <c r="G12" s="112"/>
      <c r="H12" s="112"/>
    </row>
    <row r="13" spans="1:9" x14ac:dyDescent="0.2">
      <c r="A13" s="112"/>
      <c r="B13" s="109"/>
      <c r="C13" s="120"/>
      <c r="D13" s="112"/>
      <c r="E13" s="112"/>
      <c r="F13" s="112"/>
      <c r="G13" s="112"/>
      <c r="H13" s="112"/>
    </row>
    <row r="14" spans="1:9" x14ac:dyDescent="0.2">
      <c r="A14" s="112"/>
      <c r="B14" s="109"/>
      <c r="C14" s="120"/>
      <c r="D14" s="112"/>
      <c r="E14" s="112"/>
      <c r="F14" s="112"/>
      <c r="G14" s="112"/>
      <c r="H14" s="112"/>
    </row>
    <row r="15" spans="1:9" x14ac:dyDescent="0.2">
      <c r="A15" s="112"/>
      <c r="B15" s="109"/>
      <c r="C15" s="120"/>
      <c r="D15" s="112"/>
      <c r="E15" s="112"/>
      <c r="F15" s="112"/>
      <c r="G15" s="112"/>
      <c r="H15" s="109"/>
    </row>
    <row r="16" spans="1:9" x14ac:dyDescent="0.2">
      <c r="A16" s="112"/>
      <c r="B16" s="109"/>
      <c r="C16" s="120"/>
      <c r="D16" s="112"/>
      <c r="E16" s="112"/>
      <c r="F16" s="112"/>
      <c r="G16" s="112"/>
      <c r="H16" s="112"/>
    </row>
    <row r="17" spans="1:8" x14ac:dyDescent="0.2">
      <c r="A17" s="112"/>
      <c r="B17" s="109"/>
      <c r="C17" s="120"/>
      <c r="D17" s="112"/>
      <c r="E17" s="112"/>
      <c r="F17" s="112"/>
      <c r="G17" s="112"/>
      <c r="H17" s="112"/>
    </row>
    <row r="18" spans="1:8" x14ac:dyDescent="0.2">
      <c r="A18" s="112"/>
      <c r="B18" s="109"/>
      <c r="C18" s="120"/>
      <c r="D18" s="112"/>
      <c r="E18" s="112"/>
      <c r="F18" s="114"/>
      <c r="G18" s="112"/>
      <c r="H18" s="112"/>
    </row>
    <row r="19" spans="1:8" x14ac:dyDescent="0.2">
      <c r="A19" s="112"/>
      <c r="B19" s="109"/>
      <c r="C19" s="120"/>
      <c r="D19" s="112"/>
      <c r="E19" s="112"/>
      <c r="F19" s="112"/>
      <c r="G19" s="112"/>
      <c r="H19" s="112"/>
    </row>
    <row r="20" spans="1:8" x14ac:dyDescent="0.2">
      <c r="A20" s="119"/>
      <c r="B20" s="118"/>
      <c r="C20" s="109"/>
      <c r="D20" s="112"/>
      <c r="E20" s="112"/>
      <c r="F20" s="112"/>
      <c r="G20" s="112"/>
      <c r="H20" s="112"/>
    </row>
    <row r="21" spans="1:8" x14ac:dyDescent="0.2">
      <c r="A21" s="119"/>
      <c r="B21" s="119"/>
      <c r="C21" s="109"/>
      <c r="D21" s="112"/>
      <c r="E21" s="109"/>
      <c r="F21" s="109"/>
      <c r="G21" s="109"/>
      <c r="H21" s="109"/>
    </row>
    <row r="22" spans="1:8" ht="108.95" customHeight="1" x14ac:dyDescent="0.2">
      <c r="A22" s="112"/>
      <c r="B22" s="112"/>
      <c r="C22" s="119"/>
      <c r="D22" s="112"/>
      <c r="E22" s="112"/>
      <c r="F22" s="109"/>
      <c r="G22" s="109"/>
      <c r="H22" s="109"/>
    </row>
    <row r="23" spans="1:8" x14ac:dyDescent="0.2">
      <c r="A23" s="112"/>
      <c r="B23" s="112"/>
      <c r="C23" s="119"/>
      <c r="D23" s="112"/>
      <c r="E23" s="112"/>
      <c r="F23" s="115"/>
      <c r="G23" s="112"/>
      <c r="H23" s="112"/>
    </row>
    <row r="24" spans="1:8" x14ac:dyDescent="0.2">
      <c r="A24" s="112"/>
      <c r="B24" s="112"/>
      <c r="C24" s="119"/>
      <c r="D24" s="112"/>
      <c r="E24" s="112"/>
      <c r="F24" s="115"/>
      <c r="G24" s="112"/>
      <c r="H24" s="112"/>
    </row>
    <row r="25" spans="1:8" x14ac:dyDescent="0.2">
      <c r="A25" s="112"/>
      <c r="B25" s="112"/>
      <c r="C25" s="119"/>
      <c r="D25" s="112"/>
      <c r="E25" s="112"/>
      <c r="F25" s="115"/>
      <c r="G25" s="112"/>
      <c r="H25" s="112"/>
    </row>
    <row r="26" spans="1:8" x14ac:dyDescent="0.2">
      <c r="A26" s="112"/>
      <c r="B26" s="112"/>
      <c r="C26" s="119"/>
      <c r="D26" s="109"/>
      <c r="E26" s="112"/>
      <c r="F26" s="115"/>
      <c r="G26" s="112"/>
      <c r="H26" s="112"/>
    </row>
    <row r="27" spans="1:8" x14ac:dyDescent="0.2">
      <c r="A27" s="112"/>
      <c r="B27" s="112"/>
      <c r="C27" s="119"/>
      <c r="D27" s="112"/>
      <c r="E27" s="112"/>
      <c r="F27" s="115"/>
      <c r="G27" s="112"/>
      <c r="H27" s="112"/>
    </row>
    <row r="28" spans="1:8" x14ac:dyDescent="0.2">
      <c r="A28" s="112"/>
      <c r="B28" s="112"/>
      <c r="C28" s="112"/>
      <c r="D28" s="112"/>
      <c r="E28" s="112"/>
      <c r="F28" s="115"/>
      <c r="G28" s="112"/>
      <c r="H28" s="112"/>
    </row>
    <row r="29" spans="1:8" x14ac:dyDescent="0.2">
      <c r="A29" s="112"/>
      <c r="B29" s="112"/>
      <c r="C29" s="119"/>
      <c r="D29" s="112"/>
      <c r="E29" s="112"/>
      <c r="F29" s="115"/>
      <c r="G29" s="112"/>
      <c r="H29" s="112"/>
    </row>
    <row r="30" spans="1:8" x14ac:dyDescent="0.2">
      <c r="A30" s="112"/>
      <c r="B30" s="112"/>
      <c r="C30" s="119"/>
      <c r="D30" s="112"/>
      <c r="E30" s="112"/>
      <c r="F30" s="115"/>
      <c r="G30" s="112"/>
      <c r="H30" s="112"/>
    </row>
    <row r="31" spans="1:8" x14ac:dyDescent="0.2">
      <c r="A31" s="112"/>
      <c r="B31" s="112"/>
      <c r="C31" s="112"/>
      <c r="D31" s="112"/>
      <c r="E31" s="112"/>
      <c r="F31" s="115"/>
      <c r="G31" s="112"/>
      <c r="H31" s="112"/>
    </row>
    <row r="32" spans="1:8" x14ac:dyDescent="0.2">
      <c r="E32" s="111"/>
      <c r="F32" s="111"/>
      <c r="G32" s="111"/>
    </row>
    <row r="33" spans="3:7" x14ac:dyDescent="0.2">
      <c r="E33" s="111"/>
      <c r="F33" s="111"/>
      <c r="G33" s="111"/>
    </row>
    <row r="34" spans="3:7" x14ac:dyDescent="0.2">
      <c r="E34" s="111"/>
      <c r="F34" s="111"/>
      <c r="G34" s="111"/>
    </row>
    <row r="35" spans="3:7" x14ac:dyDescent="0.2">
      <c r="E35" s="111"/>
      <c r="F35" s="111"/>
      <c r="G35" s="111"/>
    </row>
    <row r="36" spans="3:7" x14ac:dyDescent="0.2">
      <c r="E36" s="111"/>
      <c r="F36" s="111"/>
      <c r="G36" s="111"/>
    </row>
    <row r="37" spans="3:7" x14ac:dyDescent="0.2">
      <c r="C37" s="111"/>
      <c r="D37" s="111"/>
      <c r="E37" s="111"/>
      <c r="F37" s="111"/>
      <c r="G37" s="111"/>
    </row>
    <row r="38" spans="3:7" x14ac:dyDescent="0.2">
      <c r="C38" s="111"/>
      <c r="D38" s="111"/>
      <c r="E38" s="111"/>
      <c r="F38" s="111"/>
      <c r="G38" s="111"/>
    </row>
    <row r="39" spans="3:7" x14ac:dyDescent="0.2">
      <c r="C39" s="111"/>
      <c r="D39" s="111"/>
      <c r="E39" s="111"/>
      <c r="F39" s="111"/>
      <c r="G39" s="111"/>
    </row>
    <row r="40" spans="3:7" x14ac:dyDescent="0.2">
      <c r="C40" s="111"/>
      <c r="D40" s="111"/>
      <c r="E40" s="111"/>
      <c r="F40" s="111"/>
      <c r="G40" s="111"/>
    </row>
    <row r="41" spans="3:7" x14ac:dyDescent="0.2">
      <c r="C41" s="111"/>
      <c r="D41" s="111"/>
      <c r="E41" s="111"/>
      <c r="F41" s="111"/>
      <c r="G41" s="111"/>
    </row>
    <row r="42" spans="3:7" x14ac:dyDescent="0.2">
      <c r="C42" s="111"/>
      <c r="D42" s="111"/>
      <c r="E42" s="111"/>
      <c r="F42" s="111"/>
      <c r="G42" s="111"/>
    </row>
    <row r="43" spans="3:7" x14ac:dyDescent="0.2">
      <c r="C43" s="111"/>
      <c r="D43" s="111"/>
    </row>
    <row r="44" spans="3:7" x14ac:dyDescent="0.2">
      <c r="C44" s="111"/>
      <c r="D44" s="111"/>
    </row>
    <row r="45" spans="3:7" x14ac:dyDescent="0.2">
      <c r="C45" s="111"/>
      <c r="D45" s="111"/>
    </row>
    <row r="46" spans="3:7" x14ac:dyDescent="0.2">
      <c r="C46" s="111"/>
      <c r="D46" s="111"/>
    </row>
    <row r="47" spans="3:7" x14ac:dyDescent="0.2">
      <c r="C47" s="111"/>
      <c r="D47" s="11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36A48-79DD-3A49-8CE3-4D11EAFB5849}">
  <dimension ref="A1:E137"/>
  <sheetViews>
    <sheetView topLeftCell="A25" workbookViewId="0">
      <selection activeCell="E43" sqref="E43"/>
    </sheetView>
  </sheetViews>
  <sheetFormatPr defaultColWidth="8.85546875" defaultRowHeight="15" x14ac:dyDescent="0.3"/>
  <cols>
    <col min="1" max="2" width="8.85546875" style="4"/>
    <col min="3" max="3" width="63.85546875" style="4" customWidth="1"/>
    <col min="4" max="4" width="8.85546875" style="4"/>
    <col min="5" max="5" width="51.85546875" style="4" customWidth="1"/>
    <col min="6" max="16384" width="8.85546875" style="4"/>
  </cols>
  <sheetData>
    <row r="1" spans="1:3" s="2" customFormat="1" x14ac:dyDescent="0.3">
      <c r="A1" s="1" t="s">
        <v>3531</v>
      </c>
    </row>
    <row r="2" spans="1:3" s="3" customFormat="1" x14ac:dyDescent="0.3">
      <c r="A2" s="3" t="s">
        <v>3532</v>
      </c>
    </row>
    <row r="4" spans="1:3" x14ac:dyDescent="0.3">
      <c r="B4" s="5" t="s">
        <v>3533</v>
      </c>
    </row>
    <row r="5" spans="1:3" x14ac:dyDescent="0.3">
      <c r="B5" s="5" t="s">
        <v>3534</v>
      </c>
    </row>
    <row r="7" spans="1:3" s="2" customFormat="1" x14ac:dyDescent="0.3">
      <c r="A7" s="1" t="s">
        <v>3535</v>
      </c>
    </row>
    <row r="8" spans="1:3" s="3" customFormat="1" x14ac:dyDescent="0.3">
      <c r="A8" s="3" t="s">
        <v>3536</v>
      </c>
    </row>
    <row r="10" spans="1:3" x14ac:dyDescent="0.3">
      <c r="B10" s="6" t="s">
        <v>3537</v>
      </c>
      <c r="C10" s="6" t="s">
        <v>3525</v>
      </c>
    </row>
    <row r="11" spans="1:3" x14ac:dyDescent="0.3">
      <c r="B11" s="5">
        <v>0</v>
      </c>
      <c r="C11" s="5" t="s">
        <v>3538</v>
      </c>
    </row>
    <row r="12" spans="1:3" x14ac:dyDescent="0.3">
      <c r="B12" s="5">
        <v>1</v>
      </c>
      <c r="C12" s="5" t="s">
        <v>3539</v>
      </c>
    </row>
    <row r="13" spans="1:3" s="7" customFormat="1" x14ac:dyDescent="0.2">
      <c r="B13" s="10">
        <v>2</v>
      </c>
      <c r="C13" s="11" t="s">
        <v>3540</v>
      </c>
    </row>
    <row r="15" spans="1:3" s="2" customFormat="1" x14ac:dyDescent="0.3">
      <c r="A15" s="1" t="s">
        <v>3535</v>
      </c>
    </row>
    <row r="16" spans="1:3" s="3" customFormat="1" x14ac:dyDescent="0.3">
      <c r="A16" s="3" t="s">
        <v>3541</v>
      </c>
    </row>
    <row r="18" spans="1:3" x14ac:dyDescent="0.3">
      <c r="B18" s="6" t="s">
        <v>3542</v>
      </c>
      <c r="C18" s="6" t="s">
        <v>3543</v>
      </c>
    </row>
    <row r="19" spans="1:3" x14ac:dyDescent="0.3">
      <c r="B19" s="5" t="s">
        <v>585</v>
      </c>
      <c r="C19" s="5" t="s">
        <v>3544</v>
      </c>
    </row>
    <row r="20" spans="1:3" x14ac:dyDescent="0.3">
      <c r="B20" s="5" t="s">
        <v>197</v>
      </c>
      <c r="C20" s="5" t="s">
        <v>3545</v>
      </c>
    </row>
    <row r="21" spans="1:3" x14ac:dyDescent="0.3">
      <c r="B21" s="5" t="s">
        <v>76</v>
      </c>
      <c r="C21" s="5" t="s">
        <v>3546</v>
      </c>
    </row>
    <row r="22" spans="1:3" x14ac:dyDescent="0.3">
      <c r="B22" s="5" t="s">
        <v>474</v>
      </c>
      <c r="C22" s="5" t="s">
        <v>3547</v>
      </c>
    </row>
    <row r="23" spans="1:3" x14ac:dyDescent="0.3">
      <c r="B23" s="5" t="s">
        <v>1112</v>
      </c>
      <c r="C23" s="5" t="s">
        <v>3548</v>
      </c>
    </row>
    <row r="24" spans="1:3" x14ac:dyDescent="0.3">
      <c r="B24" s="5" t="s">
        <v>285</v>
      </c>
      <c r="C24" s="5" t="s">
        <v>3549</v>
      </c>
    </row>
    <row r="25" spans="1:3" x14ac:dyDescent="0.3">
      <c r="B25" s="5" t="s">
        <v>505</v>
      </c>
      <c r="C25" s="5" t="s">
        <v>3550</v>
      </c>
    </row>
    <row r="26" spans="1:3" x14ac:dyDescent="0.3">
      <c r="B26" s="5" t="s">
        <v>97</v>
      </c>
      <c r="C26" s="5" t="s">
        <v>3551</v>
      </c>
    </row>
    <row r="27" spans="1:3" x14ac:dyDescent="0.3">
      <c r="B27" s="5" t="s">
        <v>68</v>
      </c>
      <c r="C27" s="5" t="s">
        <v>3552</v>
      </c>
    </row>
    <row r="28" spans="1:3" x14ac:dyDescent="0.3">
      <c r="B28" s="5" t="s">
        <v>88</v>
      </c>
      <c r="C28" s="5" t="s">
        <v>3553</v>
      </c>
    </row>
    <row r="29" spans="1:3" x14ac:dyDescent="0.3">
      <c r="B29" s="5" t="s">
        <v>3554</v>
      </c>
      <c r="C29" s="5" t="s">
        <v>3555</v>
      </c>
    </row>
    <row r="30" spans="1:3" x14ac:dyDescent="0.3">
      <c r="B30" s="5" t="s">
        <v>3556</v>
      </c>
      <c r="C30" s="5" t="s">
        <v>3557</v>
      </c>
    </row>
    <row r="32" spans="1:3" s="2" customFormat="1" x14ac:dyDescent="0.3">
      <c r="A32" s="1" t="s">
        <v>3535</v>
      </c>
    </row>
    <row r="33" spans="1:3" s="3" customFormat="1" x14ac:dyDescent="0.3">
      <c r="A33" s="3" t="s">
        <v>3558</v>
      </c>
    </row>
    <row r="35" spans="1:3" x14ac:dyDescent="0.3">
      <c r="B35" s="6" t="s">
        <v>3537</v>
      </c>
      <c r="C35" s="6" t="s">
        <v>3525</v>
      </c>
    </row>
    <row r="36" spans="1:3" x14ac:dyDescent="0.3">
      <c r="B36" s="5" t="s">
        <v>69</v>
      </c>
      <c r="C36" s="12" t="s">
        <v>3559</v>
      </c>
    </row>
    <row r="37" spans="1:3" x14ac:dyDescent="0.3">
      <c r="B37" s="5" t="s">
        <v>158</v>
      </c>
      <c r="C37" s="12" t="s">
        <v>3560</v>
      </c>
    </row>
    <row r="38" spans="1:3" x14ac:dyDescent="0.3">
      <c r="B38" s="13">
        <v>1</v>
      </c>
      <c r="C38" s="12" t="s">
        <v>3561</v>
      </c>
    </row>
    <row r="39" spans="1:3" x14ac:dyDescent="0.3">
      <c r="B39" s="5" t="s">
        <v>163</v>
      </c>
      <c r="C39" s="12" t="s">
        <v>3562</v>
      </c>
    </row>
    <row r="41" spans="1:3" s="2" customFormat="1" x14ac:dyDescent="0.3">
      <c r="A41" s="1" t="s">
        <v>3535</v>
      </c>
    </row>
    <row r="42" spans="1:3" s="3" customFormat="1" x14ac:dyDescent="0.3">
      <c r="A42" s="3" t="s">
        <v>3563</v>
      </c>
    </row>
    <row r="44" spans="1:3" x14ac:dyDescent="0.3">
      <c r="B44" s="6" t="s">
        <v>3537</v>
      </c>
      <c r="C44" s="6" t="s">
        <v>3525</v>
      </c>
    </row>
    <row r="45" spans="1:3" x14ac:dyDescent="0.3">
      <c r="B45" s="5">
        <v>1</v>
      </c>
      <c r="C45" s="5" t="s">
        <v>3564</v>
      </c>
    </row>
    <row r="46" spans="1:3" x14ac:dyDescent="0.3">
      <c r="B46" s="5">
        <v>2</v>
      </c>
      <c r="C46" s="5" t="s">
        <v>3565</v>
      </c>
    </row>
    <row r="47" spans="1:3" ht="30" x14ac:dyDescent="0.3">
      <c r="B47" s="10">
        <v>3</v>
      </c>
      <c r="C47" s="12" t="s">
        <v>3566</v>
      </c>
    </row>
    <row r="48" spans="1:3" x14ac:dyDescent="0.3">
      <c r="B48" s="5">
        <v>4</v>
      </c>
      <c r="C48" s="5" t="s">
        <v>3567</v>
      </c>
    </row>
    <row r="49" spans="1:3" x14ac:dyDescent="0.3">
      <c r="B49" s="5">
        <v>5</v>
      </c>
      <c r="C49" s="5" t="s">
        <v>3568</v>
      </c>
    </row>
    <row r="50" spans="1:3" ht="30" x14ac:dyDescent="0.3">
      <c r="B50" s="5">
        <v>6</v>
      </c>
      <c r="C50" s="12" t="s">
        <v>3569</v>
      </c>
    </row>
    <row r="51" spans="1:3" x14ac:dyDescent="0.3">
      <c r="B51" s="5">
        <v>7</v>
      </c>
      <c r="C51" s="12" t="s">
        <v>3570</v>
      </c>
    </row>
    <row r="52" spans="1:3" x14ac:dyDescent="0.3">
      <c r="B52" s="5">
        <v>8</v>
      </c>
      <c r="C52" s="12" t="s">
        <v>3571</v>
      </c>
    </row>
    <row r="53" spans="1:3" x14ac:dyDescent="0.3">
      <c r="B53" s="5">
        <v>99</v>
      </c>
      <c r="C53" s="12" t="s">
        <v>3572</v>
      </c>
    </row>
    <row r="55" spans="1:3" s="2" customFormat="1" x14ac:dyDescent="0.3">
      <c r="A55" s="1" t="s">
        <v>3535</v>
      </c>
    </row>
    <row r="56" spans="1:3" s="3" customFormat="1" x14ac:dyDescent="0.3">
      <c r="A56" s="3" t="s">
        <v>3573</v>
      </c>
    </row>
    <row r="58" spans="1:3" x14ac:dyDescent="0.3">
      <c r="B58" s="6" t="s">
        <v>3537</v>
      </c>
      <c r="C58" s="6" t="s">
        <v>3525</v>
      </c>
    </row>
    <row r="59" spans="1:3" x14ac:dyDescent="0.3">
      <c r="B59" s="5">
        <v>0</v>
      </c>
      <c r="C59" s="5" t="s">
        <v>3574</v>
      </c>
    </row>
    <row r="60" spans="1:3" x14ac:dyDescent="0.3">
      <c r="B60" s="5">
        <v>1</v>
      </c>
      <c r="C60" s="5" t="s">
        <v>3575</v>
      </c>
    </row>
    <row r="61" spans="1:3" x14ac:dyDescent="0.3">
      <c r="B61" s="5">
        <v>2</v>
      </c>
      <c r="C61" s="5" t="s">
        <v>3576</v>
      </c>
    </row>
    <row r="64" spans="1:3" s="2" customFormat="1" x14ac:dyDescent="0.3">
      <c r="A64" s="1" t="s">
        <v>3535</v>
      </c>
    </row>
    <row r="65" spans="1:3" s="3" customFormat="1" x14ac:dyDescent="0.3">
      <c r="A65" s="3" t="s">
        <v>3577</v>
      </c>
    </row>
    <row r="67" spans="1:3" x14ac:dyDescent="0.3">
      <c r="B67" s="6" t="s">
        <v>3537</v>
      </c>
      <c r="C67" s="6" t="s">
        <v>3525</v>
      </c>
    </row>
    <row r="68" spans="1:3" x14ac:dyDescent="0.3">
      <c r="B68" s="10">
        <v>0</v>
      </c>
      <c r="C68" s="5" t="s">
        <v>3578</v>
      </c>
    </row>
    <row r="69" spans="1:3" ht="30" x14ac:dyDescent="0.3">
      <c r="B69" s="10">
        <v>1</v>
      </c>
      <c r="C69" s="12" t="s">
        <v>3579</v>
      </c>
    </row>
    <row r="70" spans="1:3" ht="30" x14ac:dyDescent="0.3">
      <c r="B70" s="10">
        <v>2</v>
      </c>
      <c r="C70" s="11" t="s">
        <v>3580</v>
      </c>
    </row>
    <row r="72" spans="1:3" s="2" customFormat="1" x14ac:dyDescent="0.3">
      <c r="A72" s="1" t="s">
        <v>3535</v>
      </c>
    </row>
    <row r="73" spans="1:3" s="3" customFormat="1" x14ac:dyDescent="0.3">
      <c r="A73" s="3" t="s">
        <v>3581</v>
      </c>
    </row>
    <row r="75" spans="1:3" x14ac:dyDescent="0.3">
      <c r="B75" s="6" t="s">
        <v>3537</v>
      </c>
      <c r="C75" s="6" t="s">
        <v>3525</v>
      </c>
    </row>
    <row r="76" spans="1:3" x14ac:dyDescent="0.3">
      <c r="B76" s="5">
        <v>0</v>
      </c>
      <c r="C76" s="5" t="s">
        <v>3538</v>
      </c>
    </row>
    <row r="77" spans="1:3" x14ac:dyDescent="0.3">
      <c r="B77" s="5">
        <v>1</v>
      </c>
      <c r="C77" s="5" t="s">
        <v>3582</v>
      </c>
    </row>
    <row r="78" spans="1:3" x14ac:dyDescent="0.3">
      <c r="B78" s="5">
        <v>2</v>
      </c>
      <c r="C78" s="5" t="s">
        <v>3583</v>
      </c>
    </row>
    <row r="81" spans="1:5" s="2" customFormat="1" x14ac:dyDescent="0.3">
      <c r="A81" s="1" t="s">
        <v>3535</v>
      </c>
    </row>
    <row r="82" spans="1:5" s="3" customFormat="1" x14ac:dyDescent="0.3">
      <c r="A82" s="3" t="s">
        <v>3584</v>
      </c>
    </row>
    <row r="84" spans="1:5" x14ac:dyDescent="0.3">
      <c r="B84" s="6" t="s">
        <v>3537</v>
      </c>
      <c r="C84" s="6" t="s">
        <v>3525</v>
      </c>
    </row>
    <row r="85" spans="1:5" x14ac:dyDescent="0.3">
      <c r="B85" s="5">
        <v>0</v>
      </c>
      <c r="C85" s="5" t="s">
        <v>3538</v>
      </c>
    </row>
    <row r="86" spans="1:5" x14ac:dyDescent="0.3">
      <c r="B86" s="5">
        <v>1</v>
      </c>
      <c r="C86" s="5" t="s">
        <v>106</v>
      </c>
    </row>
    <row r="89" spans="1:5" s="2" customFormat="1" x14ac:dyDescent="0.3">
      <c r="A89" s="1" t="s">
        <v>3535</v>
      </c>
    </row>
    <row r="90" spans="1:5" s="3" customFormat="1" ht="45" x14ac:dyDescent="0.3">
      <c r="A90" s="8" t="s">
        <v>3585</v>
      </c>
      <c r="B90" s="8"/>
      <c r="E90" s="9" t="s">
        <v>3586</v>
      </c>
    </row>
    <row r="92" spans="1:5" x14ac:dyDescent="0.3">
      <c r="B92" s="6" t="s">
        <v>3537</v>
      </c>
      <c r="C92" s="6" t="s">
        <v>3525</v>
      </c>
    </row>
    <row r="93" spans="1:5" x14ac:dyDescent="0.3">
      <c r="B93" s="14">
        <v>1</v>
      </c>
      <c r="C93" s="12" t="s">
        <v>3587</v>
      </c>
    </row>
    <row r="94" spans="1:5" x14ac:dyDescent="0.3">
      <c r="B94" s="14">
        <v>2</v>
      </c>
      <c r="C94" s="12" t="s">
        <v>3588</v>
      </c>
    </row>
    <row r="95" spans="1:5" x14ac:dyDescent="0.3">
      <c r="B95" s="14">
        <v>3</v>
      </c>
      <c r="C95" s="12" t="s">
        <v>3589</v>
      </c>
    </row>
    <row r="96" spans="1:5" x14ac:dyDescent="0.3">
      <c r="B96" s="14">
        <v>4</v>
      </c>
      <c r="C96" s="12" t="s">
        <v>3590</v>
      </c>
    </row>
    <row r="97" spans="2:3" x14ac:dyDescent="0.3">
      <c r="B97" s="14">
        <v>5</v>
      </c>
      <c r="C97" s="12" t="s">
        <v>3591</v>
      </c>
    </row>
    <row r="98" spans="2:3" x14ac:dyDescent="0.3">
      <c r="B98" s="14">
        <v>6</v>
      </c>
      <c r="C98" s="12" t="s">
        <v>3592</v>
      </c>
    </row>
    <row r="99" spans="2:3" x14ac:dyDescent="0.3">
      <c r="B99" s="14">
        <v>7</v>
      </c>
      <c r="C99" s="12" t="s">
        <v>3593</v>
      </c>
    </row>
    <row r="100" spans="2:3" x14ac:dyDescent="0.3">
      <c r="B100" s="14">
        <v>8</v>
      </c>
      <c r="C100" s="12" t="s">
        <v>3594</v>
      </c>
    </row>
    <row r="101" spans="2:3" x14ac:dyDescent="0.3">
      <c r="B101" s="14">
        <v>9</v>
      </c>
      <c r="C101" s="12" t="s">
        <v>3595</v>
      </c>
    </row>
    <row r="102" spans="2:3" x14ac:dyDescent="0.3">
      <c r="B102" s="14">
        <v>10</v>
      </c>
      <c r="C102" s="12" t="s">
        <v>3596</v>
      </c>
    </row>
    <row r="103" spans="2:3" x14ac:dyDescent="0.3">
      <c r="B103" s="14">
        <v>11</v>
      </c>
      <c r="C103" s="5" t="s">
        <v>3597</v>
      </c>
    </row>
    <row r="104" spans="2:3" x14ac:dyDescent="0.3">
      <c r="B104" s="14">
        <v>12</v>
      </c>
      <c r="C104" s="12" t="s">
        <v>3598</v>
      </c>
    </row>
    <row r="105" spans="2:3" x14ac:dyDescent="0.3">
      <c r="B105" s="14">
        <v>13</v>
      </c>
      <c r="C105" s="12" t="s">
        <v>3599</v>
      </c>
    </row>
    <row r="106" spans="2:3" x14ac:dyDescent="0.3">
      <c r="B106" s="14">
        <v>14</v>
      </c>
      <c r="C106" s="12" t="s">
        <v>3600</v>
      </c>
    </row>
    <row r="107" spans="2:3" x14ac:dyDescent="0.3">
      <c r="B107" s="14">
        <v>15</v>
      </c>
      <c r="C107" s="12" t="s">
        <v>3601</v>
      </c>
    </row>
    <row r="108" spans="2:3" x14ac:dyDescent="0.3">
      <c r="B108" s="14">
        <v>16</v>
      </c>
      <c r="C108" s="12" t="s">
        <v>3602</v>
      </c>
    </row>
    <row r="109" spans="2:3" x14ac:dyDescent="0.3">
      <c r="B109" s="14">
        <v>17</v>
      </c>
      <c r="C109" s="12"/>
    </row>
    <row r="110" spans="2:3" x14ac:dyDescent="0.3">
      <c r="B110" s="14">
        <v>18</v>
      </c>
      <c r="C110" s="12"/>
    </row>
    <row r="111" spans="2:3" x14ac:dyDescent="0.3">
      <c r="B111" s="14">
        <v>19</v>
      </c>
      <c r="C111" s="12"/>
    </row>
    <row r="112" spans="2:3" x14ac:dyDescent="0.3">
      <c r="B112" s="14">
        <v>20</v>
      </c>
      <c r="C112" s="12"/>
    </row>
    <row r="114" spans="1:5" s="2" customFormat="1" x14ac:dyDescent="0.3">
      <c r="A114" s="1" t="s">
        <v>3535</v>
      </c>
    </row>
    <row r="115" spans="1:5" s="3" customFormat="1" ht="45" x14ac:dyDescent="0.3">
      <c r="A115" s="8" t="s">
        <v>3603</v>
      </c>
      <c r="E115" s="9" t="s">
        <v>3586</v>
      </c>
    </row>
    <row r="117" spans="1:5" x14ac:dyDescent="0.3">
      <c r="B117" s="6" t="s">
        <v>3537</v>
      </c>
      <c r="C117" s="6" t="s">
        <v>3525</v>
      </c>
    </row>
    <row r="118" spans="1:5" x14ac:dyDescent="0.3">
      <c r="B118" s="14">
        <v>1</v>
      </c>
      <c r="C118" s="12" t="s">
        <v>3604</v>
      </c>
    </row>
    <row r="119" spans="1:5" x14ac:dyDescent="0.3">
      <c r="B119" s="14">
        <v>2</v>
      </c>
      <c r="C119" s="12" t="s">
        <v>3605</v>
      </c>
    </row>
    <row r="120" spans="1:5" x14ac:dyDescent="0.3">
      <c r="B120" s="14">
        <v>3</v>
      </c>
      <c r="C120" s="12" t="s">
        <v>3606</v>
      </c>
    </row>
    <row r="121" spans="1:5" x14ac:dyDescent="0.3">
      <c r="B121" s="14">
        <v>4</v>
      </c>
      <c r="C121" s="12" t="s">
        <v>3607</v>
      </c>
    </row>
    <row r="122" spans="1:5" x14ac:dyDescent="0.3">
      <c r="B122" s="14">
        <v>5</v>
      </c>
      <c r="C122" s="12" t="s">
        <v>3608</v>
      </c>
    </row>
    <row r="123" spans="1:5" x14ac:dyDescent="0.3">
      <c r="B123" s="14">
        <v>6</v>
      </c>
      <c r="C123" s="12" t="s">
        <v>3609</v>
      </c>
    </row>
    <row r="124" spans="1:5" x14ac:dyDescent="0.3">
      <c r="B124" s="14">
        <v>7</v>
      </c>
      <c r="C124" s="12" t="s">
        <v>3610</v>
      </c>
    </row>
    <row r="125" spans="1:5" x14ac:dyDescent="0.3">
      <c r="B125" s="14">
        <v>8</v>
      </c>
      <c r="C125" s="12" t="s">
        <v>3611</v>
      </c>
    </row>
    <row r="126" spans="1:5" x14ac:dyDescent="0.3">
      <c r="B126" s="14">
        <v>9</v>
      </c>
      <c r="C126" s="12" t="s">
        <v>3612</v>
      </c>
    </row>
    <row r="127" spans="1:5" x14ac:dyDescent="0.3">
      <c r="B127" s="14">
        <v>10</v>
      </c>
      <c r="C127" s="12" t="s">
        <v>3613</v>
      </c>
    </row>
    <row r="128" spans="1:5" x14ac:dyDescent="0.3">
      <c r="B128" s="14">
        <v>11</v>
      </c>
      <c r="C128" s="12" t="s">
        <v>3614</v>
      </c>
    </row>
    <row r="129" spans="2:3" x14ac:dyDescent="0.3">
      <c r="B129" s="14">
        <v>12</v>
      </c>
      <c r="C129" s="12" t="s">
        <v>3615</v>
      </c>
    </row>
    <row r="130" spans="2:3" x14ac:dyDescent="0.3">
      <c r="B130" s="14">
        <v>13</v>
      </c>
      <c r="C130" s="12" t="s">
        <v>3616</v>
      </c>
    </row>
    <row r="131" spans="2:3" x14ac:dyDescent="0.3">
      <c r="B131" s="14">
        <v>14</v>
      </c>
      <c r="C131" s="12" t="s">
        <v>3617</v>
      </c>
    </row>
    <row r="132" spans="2:3" x14ac:dyDescent="0.3">
      <c r="B132" s="14">
        <v>15</v>
      </c>
      <c r="C132" s="12" t="s">
        <v>3618</v>
      </c>
    </row>
    <row r="133" spans="2:3" x14ac:dyDescent="0.3">
      <c r="B133" s="14">
        <v>16</v>
      </c>
      <c r="C133" s="12" t="s">
        <v>3619</v>
      </c>
    </row>
    <row r="134" spans="2:3" x14ac:dyDescent="0.3">
      <c r="B134" s="14">
        <v>17</v>
      </c>
      <c r="C134" s="12"/>
    </row>
    <row r="135" spans="2:3" x14ac:dyDescent="0.3">
      <c r="B135" s="14">
        <v>18</v>
      </c>
      <c r="C135" s="12"/>
    </row>
    <row r="136" spans="2:3" x14ac:dyDescent="0.3">
      <c r="B136" s="14">
        <v>19</v>
      </c>
      <c r="C136" s="12"/>
    </row>
    <row r="137" spans="2:3" x14ac:dyDescent="0.3">
      <c r="B137" s="14">
        <v>20</v>
      </c>
      <c r="C137" s="1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CFF07-6F21-A844-A7F2-35CB8D0BD2E0}">
  <dimension ref="A1:O894"/>
  <sheetViews>
    <sheetView zoomScale="90" zoomScaleNormal="90" workbookViewId="0">
      <selection activeCell="C141" sqref="C141"/>
    </sheetView>
  </sheetViews>
  <sheetFormatPr defaultColWidth="11.42578125" defaultRowHeight="12.75" x14ac:dyDescent="0.2"/>
  <cols>
    <col min="1" max="1" width="32.42578125" bestFit="1" customWidth="1"/>
    <col min="2" max="2" width="47.42578125" bestFit="1" customWidth="1"/>
    <col min="3" max="3" width="48.42578125" bestFit="1" customWidth="1"/>
    <col min="4" max="4" width="11" customWidth="1"/>
    <col min="5" max="5" width="19.85546875" customWidth="1"/>
    <col min="6" max="6" width="4.42578125" bestFit="1" customWidth="1"/>
    <col min="7" max="7" width="5.140625" bestFit="1" customWidth="1"/>
    <col min="8" max="8" width="11" customWidth="1"/>
    <col min="10" max="10" width="102.42578125" bestFit="1" customWidth="1"/>
    <col min="11" max="11" width="22.42578125" customWidth="1"/>
    <col min="12" max="12" width="42.85546875" bestFit="1" customWidth="1"/>
  </cols>
  <sheetData>
    <row r="1" spans="1:15" ht="25.5" x14ac:dyDescent="0.2">
      <c r="A1" s="45" t="s">
        <v>44</v>
      </c>
      <c r="B1" s="45" t="s">
        <v>45</v>
      </c>
      <c r="C1" s="45" t="s">
        <v>46</v>
      </c>
      <c r="D1" s="45" t="s">
        <v>47</v>
      </c>
      <c r="E1" s="46" t="s">
        <v>48</v>
      </c>
      <c r="F1" s="46" t="s">
        <v>49</v>
      </c>
      <c r="G1" s="46" t="s">
        <v>50</v>
      </c>
      <c r="H1" s="46" t="s">
        <v>51</v>
      </c>
      <c r="I1" s="46" t="s">
        <v>52</v>
      </c>
      <c r="J1" s="46" t="s">
        <v>53</v>
      </c>
      <c r="K1" s="46" t="s">
        <v>54</v>
      </c>
      <c r="L1" s="46" t="s">
        <v>55</v>
      </c>
      <c r="M1" s="46" t="s">
        <v>56</v>
      </c>
      <c r="N1" s="47" t="s">
        <v>57</v>
      </c>
      <c r="O1" s="48" t="s">
        <v>58</v>
      </c>
    </row>
    <row r="2" spans="1:15" ht="15" x14ac:dyDescent="0.25">
      <c r="A2" s="49" t="s">
        <v>59</v>
      </c>
      <c r="B2" s="50" t="s">
        <v>60</v>
      </c>
      <c r="C2" s="49" t="s">
        <v>59</v>
      </c>
      <c r="D2" s="49"/>
      <c r="E2" s="51" t="s">
        <v>61</v>
      </c>
      <c r="F2" s="51"/>
      <c r="G2" s="51"/>
      <c r="H2" s="51" t="s">
        <v>62</v>
      </c>
      <c r="I2" s="51" t="s">
        <v>63</v>
      </c>
      <c r="J2" s="51" t="s">
        <v>64</v>
      </c>
      <c r="K2" s="51"/>
      <c r="L2" s="52" t="str">
        <f>HYPERLINK("https://zibs.nl/wiki/AlcoholGebruik-v3.1(2017NL)#","")</f>
        <v/>
      </c>
      <c r="M2" s="51"/>
      <c r="N2" s="53" t="s">
        <v>65</v>
      </c>
      <c r="O2" s="54"/>
    </row>
    <row r="3" spans="1:15" ht="25.5" x14ac:dyDescent="0.25">
      <c r="A3" s="49" t="s">
        <v>59</v>
      </c>
      <c r="B3" s="55" t="s">
        <v>60</v>
      </c>
      <c r="C3" s="56" t="s">
        <v>66</v>
      </c>
      <c r="D3" s="56"/>
      <c r="E3" s="57" t="s">
        <v>67</v>
      </c>
      <c r="F3" s="57" t="s">
        <v>68</v>
      </c>
      <c r="G3" s="57" t="s">
        <v>69</v>
      </c>
      <c r="H3" s="57" t="s">
        <v>70</v>
      </c>
      <c r="I3" s="57" t="s">
        <v>71</v>
      </c>
      <c r="J3" s="57" t="s">
        <v>72</v>
      </c>
      <c r="K3" s="57" t="s">
        <v>73</v>
      </c>
      <c r="L3" s="52" t="str">
        <f>HYPERLINK("https://zibs.nl/wiki/AlcoholGebruik-v3.1(2017NL)#","")</f>
        <v/>
      </c>
      <c r="M3" s="57"/>
      <c r="N3" s="53" t="s">
        <v>65</v>
      </c>
      <c r="O3" s="54"/>
    </row>
    <row r="4" spans="1:15" ht="51" x14ac:dyDescent="0.25">
      <c r="A4" s="49" t="s">
        <v>59</v>
      </c>
      <c r="B4" s="55" t="s">
        <v>60</v>
      </c>
      <c r="C4" s="56" t="s">
        <v>74</v>
      </c>
      <c r="D4" s="56"/>
      <c r="E4" s="57" t="s">
        <v>75</v>
      </c>
      <c r="F4" s="57" t="s">
        <v>76</v>
      </c>
      <c r="G4" s="57" t="s">
        <v>77</v>
      </c>
      <c r="H4" s="57" t="s">
        <v>70</v>
      </c>
      <c r="I4" s="57" t="s">
        <v>78</v>
      </c>
      <c r="J4" s="57" t="s">
        <v>79</v>
      </c>
      <c r="K4" s="57" t="s">
        <v>80</v>
      </c>
      <c r="L4" s="52" t="str">
        <f>HYPERLINK("https://zibs.nl/wiki/AlcoholGebruik-v3.1(2017NL)#AlcoholGebruikStatusCodelijst","AlcoholGebruikStatusCodelijst")</f>
        <v>AlcoholGebruikStatusCodelijst</v>
      </c>
      <c r="M4" s="57"/>
      <c r="N4" s="53" t="s">
        <v>65</v>
      </c>
      <c r="O4" s="54"/>
    </row>
    <row r="5" spans="1:15" ht="25.5" x14ac:dyDescent="0.25">
      <c r="A5" s="49" t="s">
        <v>59</v>
      </c>
      <c r="B5" s="58" t="s">
        <v>60</v>
      </c>
      <c r="C5" s="59" t="s">
        <v>81</v>
      </c>
      <c r="D5" s="59"/>
      <c r="E5" s="60" t="s">
        <v>82</v>
      </c>
      <c r="F5" s="60"/>
      <c r="G5" s="60" t="s">
        <v>69</v>
      </c>
      <c r="H5" s="60" t="s">
        <v>83</v>
      </c>
      <c r="I5" s="60" t="s">
        <v>84</v>
      </c>
      <c r="J5" s="60" t="s">
        <v>85</v>
      </c>
      <c r="K5" s="60"/>
      <c r="L5" s="52" t="str">
        <f>HYPERLINK("https://zibs.nl/wiki/AlcoholGebruik-v3.1(2017NL)#","")</f>
        <v/>
      </c>
      <c r="M5" s="60"/>
      <c r="N5" s="53" t="s">
        <v>65</v>
      </c>
      <c r="O5" s="54"/>
    </row>
    <row r="6" spans="1:15" ht="15" x14ac:dyDescent="0.25">
      <c r="A6" s="49" t="s">
        <v>59</v>
      </c>
      <c r="B6" s="55" t="s">
        <v>60</v>
      </c>
      <c r="C6" s="56" t="s">
        <v>86</v>
      </c>
      <c r="D6" s="56"/>
      <c r="E6" s="57" t="s">
        <v>87</v>
      </c>
      <c r="F6" s="57" t="s">
        <v>88</v>
      </c>
      <c r="G6" s="57" t="s">
        <v>69</v>
      </c>
      <c r="H6" s="57" t="s">
        <v>70</v>
      </c>
      <c r="I6" s="57" t="s">
        <v>89</v>
      </c>
      <c r="J6" s="57" t="s">
        <v>90</v>
      </c>
      <c r="K6" s="57"/>
      <c r="L6" s="52" t="str">
        <f>HYPERLINK("https://zibs.nl/wiki/AlcoholGebruik-v3.1(2017NL)#","")</f>
        <v/>
      </c>
      <c r="M6" s="57"/>
      <c r="N6" s="53" t="s">
        <v>65</v>
      </c>
      <c r="O6" s="54"/>
    </row>
    <row r="7" spans="1:15" ht="15" x14ac:dyDescent="0.25">
      <c r="A7" s="49" t="s">
        <v>59</v>
      </c>
      <c r="B7" s="55" t="s">
        <v>60</v>
      </c>
      <c r="C7" s="56" t="s">
        <v>91</v>
      </c>
      <c r="D7" s="56"/>
      <c r="E7" s="57" t="s">
        <v>92</v>
      </c>
      <c r="F7" s="57" t="s">
        <v>88</v>
      </c>
      <c r="G7" s="57" t="s">
        <v>69</v>
      </c>
      <c r="H7" s="57" t="s">
        <v>70</v>
      </c>
      <c r="I7" s="57" t="s">
        <v>93</v>
      </c>
      <c r="J7" s="57" t="s">
        <v>94</v>
      </c>
      <c r="K7" s="57"/>
      <c r="L7" s="52" t="str">
        <f>HYPERLINK("https://zibs.nl/wiki/AlcoholGebruik-v3.1(2017NL)#","")</f>
        <v/>
      </c>
      <c r="M7" s="57"/>
      <c r="N7" s="53" t="s">
        <v>65</v>
      </c>
      <c r="O7" s="54"/>
    </row>
    <row r="8" spans="1:15" ht="38.25" x14ac:dyDescent="0.25">
      <c r="A8" s="49" t="s">
        <v>59</v>
      </c>
      <c r="B8" s="55" t="s">
        <v>60</v>
      </c>
      <c r="C8" s="56" t="s">
        <v>95</v>
      </c>
      <c r="D8" s="56"/>
      <c r="E8" s="57" t="s">
        <v>96</v>
      </c>
      <c r="F8" s="57" t="s">
        <v>97</v>
      </c>
      <c r="G8" s="57" t="s">
        <v>69</v>
      </c>
      <c r="H8" s="57" t="s">
        <v>70</v>
      </c>
      <c r="I8" s="57" t="s">
        <v>98</v>
      </c>
      <c r="J8" s="57" t="s">
        <v>99</v>
      </c>
      <c r="K8" s="57" t="s">
        <v>100</v>
      </c>
      <c r="L8" s="52" t="str">
        <f>HYPERLINK("https://zibs.nl/wiki/AlcoholGebruik-v3.1(2017NL)#","")</f>
        <v/>
      </c>
      <c r="M8" s="57"/>
      <c r="N8" s="53" t="s">
        <v>65</v>
      </c>
      <c r="O8" s="54"/>
    </row>
    <row r="9" spans="1:15" ht="15" x14ac:dyDescent="0.25">
      <c r="A9" s="49" t="s">
        <v>101</v>
      </c>
      <c r="B9" s="49" t="s">
        <v>102</v>
      </c>
      <c r="C9" s="49" t="s">
        <v>101</v>
      </c>
      <c r="D9" s="49"/>
      <c r="E9" s="51" t="s">
        <v>103</v>
      </c>
      <c r="F9" s="51"/>
      <c r="G9" s="51"/>
      <c r="H9" s="51" t="s">
        <v>62</v>
      </c>
      <c r="I9" s="51" t="s">
        <v>104</v>
      </c>
      <c r="J9" s="51" t="s">
        <v>105</v>
      </c>
      <c r="K9" s="51"/>
      <c r="L9" s="52" t="str">
        <f>HYPERLINK("https://zibs.nl/wiki/Alert-v3.2(2017NL)#","")</f>
        <v/>
      </c>
      <c r="M9" s="51"/>
      <c r="N9" s="53" t="s">
        <v>106</v>
      </c>
      <c r="O9" s="54"/>
    </row>
    <row r="10" spans="1:15" ht="114.75" x14ac:dyDescent="0.25">
      <c r="A10" s="49" t="s">
        <v>101</v>
      </c>
      <c r="B10" s="61" t="s">
        <v>102</v>
      </c>
      <c r="C10" s="61" t="s">
        <v>107</v>
      </c>
      <c r="D10" s="61"/>
      <c r="E10" s="57" t="s">
        <v>108</v>
      </c>
      <c r="F10" s="57"/>
      <c r="G10" s="57" t="s">
        <v>109</v>
      </c>
      <c r="H10" s="57" t="s">
        <v>110</v>
      </c>
      <c r="I10" s="57" t="s">
        <v>111</v>
      </c>
      <c r="J10" s="57" t="s">
        <v>112</v>
      </c>
      <c r="K10" s="57"/>
      <c r="L10" s="62" t="s">
        <v>113</v>
      </c>
      <c r="M10" s="57"/>
      <c r="N10" s="53" t="s">
        <v>106</v>
      </c>
      <c r="O10" s="54"/>
    </row>
    <row r="11" spans="1:15" ht="63.75" x14ac:dyDescent="0.25">
      <c r="A11" s="49" t="s">
        <v>101</v>
      </c>
      <c r="B11" s="61" t="s">
        <v>102</v>
      </c>
      <c r="C11" s="61" t="s">
        <v>114</v>
      </c>
      <c r="D11" s="61"/>
      <c r="E11" s="57" t="s">
        <v>115</v>
      </c>
      <c r="F11" s="57" t="s">
        <v>76</v>
      </c>
      <c r="G11" s="57" t="s">
        <v>109</v>
      </c>
      <c r="H11" s="57" t="s">
        <v>70</v>
      </c>
      <c r="I11" s="57" t="s">
        <v>116</v>
      </c>
      <c r="J11" s="57" t="s">
        <v>117</v>
      </c>
      <c r="K11" s="57"/>
      <c r="L11" s="52" t="str">
        <f>HYPERLINK("https://zibs.nl/wiki/Alert-v3.2(2017NL)#AlertNaamCodelijst","AlertNaamCodelijst")</f>
        <v>AlertNaamCodelijst</v>
      </c>
      <c r="M11" s="57"/>
      <c r="N11" s="53" t="s">
        <v>106</v>
      </c>
      <c r="O11" s="54"/>
    </row>
    <row r="12" spans="1:15" ht="38.25" x14ac:dyDescent="0.25">
      <c r="A12" s="49" t="s">
        <v>101</v>
      </c>
      <c r="B12" s="61" t="s">
        <v>102</v>
      </c>
      <c r="C12" s="61" t="s">
        <v>118</v>
      </c>
      <c r="D12" s="61"/>
      <c r="E12" s="57" t="s">
        <v>119</v>
      </c>
      <c r="F12" s="57" t="s">
        <v>88</v>
      </c>
      <c r="G12" s="57" t="s">
        <v>69</v>
      </c>
      <c r="H12" s="57" t="s">
        <v>70</v>
      </c>
      <c r="I12" s="57" t="s">
        <v>120</v>
      </c>
      <c r="J12" s="57" t="s">
        <v>121</v>
      </c>
      <c r="K12" s="57"/>
      <c r="L12" s="52" t="str">
        <f>HYPERLINK("https://zibs.nl/wiki/Alert-v3.2(2017NL)#","")</f>
        <v/>
      </c>
      <c r="M12" s="57"/>
      <c r="N12" s="53" t="s">
        <v>106</v>
      </c>
      <c r="O12" s="54"/>
    </row>
    <row r="13" spans="1:15" ht="15" x14ac:dyDescent="0.25">
      <c r="A13" s="49" t="s">
        <v>101</v>
      </c>
      <c r="B13" s="61" t="s">
        <v>102</v>
      </c>
      <c r="C13" s="61" t="s">
        <v>122</v>
      </c>
      <c r="D13" s="61"/>
      <c r="E13" s="57" t="s">
        <v>123</v>
      </c>
      <c r="F13" s="57" t="s">
        <v>76</v>
      </c>
      <c r="G13" s="57" t="s">
        <v>69</v>
      </c>
      <c r="H13" s="57" t="s">
        <v>70</v>
      </c>
      <c r="I13" s="57" t="s">
        <v>124</v>
      </c>
      <c r="J13" s="57" t="s">
        <v>125</v>
      </c>
      <c r="K13" s="57"/>
      <c r="L13" s="52" t="str">
        <f>HYPERLINK("https://zibs.nl/wiki/Alert-v3.2(2017NL)#AlertTypeCodelijst","AlertTypeCodelijst")</f>
        <v>AlertTypeCodelijst</v>
      </c>
      <c r="M13" s="57"/>
      <c r="N13" s="53" t="s">
        <v>106</v>
      </c>
      <c r="O13" s="54"/>
    </row>
    <row r="14" spans="1:15" ht="25.5" x14ac:dyDescent="0.25">
      <c r="A14" s="49" t="s">
        <v>126</v>
      </c>
      <c r="B14" s="49" t="s">
        <v>127</v>
      </c>
      <c r="C14" s="49" t="s">
        <v>126</v>
      </c>
      <c r="D14" s="49"/>
      <c r="E14" s="51" t="s">
        <v>128</v>
      </c>
      <c r="F14" s="51"/>
      <c r="G14" s="51"/>
      <c r="H14" s="51" t="s">
        <v>62</v>
      </c>
      <c r="I14" s="51" t="s">
        <v>129</v>
      </c>
      <c r="J14" s="51" t="s">
        <v>130</v>
      </c>
      <c r="K14" s="51"/>
      <c r="L14" s="52" t="str">
        <f>HYPERLINK("https://zibs.nl/wiki/AllergieIntolerantie-v3.2(2017NL)#","")</f>
        <v/>
      </c>
      <c r="M14" s="51"/>
      <c r="N14" s="53" t="s">
        <v>106</v>
      </c>
      <c r="O14" s="54"/>
    </row>
    <row r="15" spans="1:15" ht="15" x14ac:dyDescent="0.25">
      <c r="A15" s="49" t="s">
        <v>126</v>
      </c>
      <c r="B15" s="63" t="s">
        <v>127</v>
      </c>
      <c r="C15" s="63" t="s">
        <v>131</v>
      </c>
      <c r="D15" s="63"/>
      <c r="E15" s="57" t="s">
        <v>132</v>
      </c>
      <c r="F15" s="57" t="s">
        <v>76</v>
      </c>
      <c r="G15" s="57" t="s">
        <v>77</v>
      </c>
      <c r="H15" s="57" t="s">
        <v>70</v>
      </c>
      <c r="I15" s="57" t="s">
        <v>133</v>
      </c>
      <c r="J15" s="57" t="s">
        <v>134</v>
      </c>
      <c r="K15" s="57"/>
      <c r="L15" s="52" t="str">
        <f>HYPERLINK("https://zibs.nl/wiki/AllergieIntolerantie-v3.2(2017NL)#VeroorzakendeStofAllergeneStoffenCodelijst","VeroorzakendeStofAllergeneStoffenCodelijst")</f>
        <v>VeroorzakendeStofAllergeneStoffenCodelijst</v>
      </c>
      <c r="M15" s="57"/>
      <c r="N15" s="53" t="s">
        <v>106</v>
      </c>
      <c r="O15" s="54"/>
    </row>
    <row r="16" spans="1:15" ht="15" x14ac:dyDescent="0.25">
      <c r="A16" s="49" t="s">
        <v>126</v>
      </c>
      <c r="B16" s="64" t="s">
        <v>127</v>
      </c>
      <c r="C16" s="63" t="s">
        <v>131</v>
      </c>
      <c r="D16" s="63"/>
      <c r="E16" s="57" t="s">
        <v>132</v>
      </c>
      <c r="F16" s="57" t="s">
        <v>76</v>
      </c>
      <c r="G16" s="57" t="s">
        <v>77</v>
      </c>
      <c r="H16" s="57" t="s">
        <v>70</v>
      </c>
      <c r="I16" s="57" t="s">
        <v>133</v>
      </c>
      <c r="J16" s="57" t="s">
        <v>134</v>
      </c>
      <c r="K16" s="57"/>
      <c r="L16" s="52" t="str">
        <f>HYPERLINK("https://zibs.nl/wiki/AllergieIntolerantie-v3.2(2017NL)#VeroorzakendeStofHPKCodelijst","VeroorzakendeStofHPKCodelijst")</f>
        <v>VeroorzakendeStofHPKCodelijst</v>
      </c>
      <c r="M16" s="57"/>
      <c r="N16" s="53" t="s">
        <v>106</v>
      </c>
      <c r="O16" s="54"/>
    </row>
    <row r="17" spans="1:15" ht="15" x14ac:dyDescent="0.25">
      <c r="A17" s="49" t="s">
        <v>126</v>
      </c>
      <c r="B17" s="64" t="s">
        <v>127</v>
      </c>
      <c r="C17" s="63" t="s">
        <v>131</v>
      </c>
      <c r="D17" s="63"/>
      <c r="E17" s="57" t="s">
        <v>132</v>
      </c>
      <c r="F17" s="57" t="s">
        <v>76</v>
      </c>
      <c r="G17" s="57" t="s">
        <v>77</v>
      </c>
      <c r="H17" s="57" t="s">
        <v>70</v>
      </c>
      <c r="I17" s="57" t="s">
        <v>133</v>
      </c>
      <c r="J17" s="57" t="s">
        <v>134</v>
      </c>
      <c r="K17" s="57"/>
      <c r="L17" s="52" t="str">
        <f>HYPERLINK("https://zibs.nl/wiki/AllergieIntolerantie-v3.2(2017NL)#VeroorzakendeStofSNKCodelijst","VeroorzakendeStofSNKCodelijst")</f>
        <v>VeroorzakendeStofSNKCodelijst</v>
      </c>
      <c r="M17" s="57"/>
      <c r="N17" s="53" t="s">
        <v>106</v>
      </c>
      <c r="O17" s="54"/>
    </row>
    <row r="18" spans="1:15" ht="15" x14ac:dyDescent="0.25">
      <c r="A18" s="49" t="s">
        <v>126</v>
      </c>
      <c r="B18" s="64" t="s">
        <v>127</v>
      </c>
      <c r="C18" s="63" t="s">
        <v>131</v>
      </c>
      <c r="D18" s="63"/>
      <c r="E18" s="57" t="s">
        <v>132</v>
      </c>
      <c r="F18" s="57" t="s">
        <v>76</v>
      </c>
      <c r="G18" s="57" t="s">
        <v>77</v>
      </c>
      <c r="H18" s="57" t="s">
        <v>70</v>
      </c>
      <c r="I18" s="57" t="s">
        <v>133</v>
      </c>
      <c r="J18" s="57" t="s">
        <v>134</v>
      </c>
      <c r="K18" s="57"/>
      <c r="L18" s="52" t="str">
        <f>HYPERLINK("https://zibs.nl/wiki/AllergieIntolerantie-v3.2(2017NL)#VeroorzakendeStofSSKCodelijst","VeroorzakendeStofSSKCodelijst")</f>
        <v>VeroorzakendeStofSSKCodelijst</v>
      </c>
      <c r="M18" s="57"/>
      <c r="N18" s="53" t="s">
        <v>106</v>
      </c>
      <c r="O18" s="54"/>
    </row>
    <row r="19" spans="1:15" ht="15" x14ac:dyDescent="0.25">
      <c r="A19" s="49" t="s">
        <v>126</v>
      </c>
      <c r="B19" s="65" t="s">
        <v>127</v>
      </c>
      <c r="C19" s="63" t="s">
        <v>131</v>
      </c>
      <c r="D19" s="63"/>
      <c r="E19" s="57" t="s">
        <v>132</v>
      </c>
      <c r="F19" s="57" t="s">
        <v>76</v>
      </c>
      <c r="G19" s="57" t="s">
        <v>77</v>
      </c>
      <c r="H19" s="57" t="s">
        <v>70</v>
      </c>
      <c r="I19" s="57" t="s">
        <v>133</v>
      </c>
      <c r="J19" s="57" t="s">
        <v>134</v>
      </c>
      <c r="K19" s="57"/>
      <c r="L19" s="52" t="str">
        <f>HYPERLINK("https://zibs.nl/wiki/AllergieIntolerantie-v3.2(2017NL)#VeroorzakendeStofThesaurus122Codelijst","VeroorzakendeStofThesaurus122Codelijst")</f>
        <v>VeroorzakendeStofThesaurus122Codelijst</v>
      </c>
      <c r="M19" s="57"/>
      <c r="N19" s="53" t="s">
        <v>106</v>
      </c>
      <c r="O19" s="54"/>
    </row>
    <row r="20" spans="1:15" ht="15" x14ac:dyDescent="0.25">
      <c r="A20" s="49" t="s">
        <v>126</v>
      </c>
      <c r="B20" s="61" t="s">
        <v>127</v>
      </c>
      <c r="C20" s="61" t="s">
        <v>135</v>
      </c>
      <c r="D20" s="61"/>
      <c r="E20" s="57" t="s">
        <v>136</v>
      </c>
      <c r="F20" s="57" t="s">
        <v>76</v>
      </c>
      <c r="G20" s="57" t="s">
        <v>69</v>
      </c>
      <c r="H20" s="57" t="s">
        <v>70</v>
      </c>
      <c r="I20" s="57" t="s">
        <v>137</v>
      </c>
      <c r="J20" s="57" t="s">
        <v>138</v>
      </c>
      <c r="K20" s="57"/>
      <c r="L20" s="52" t="str">
        <f>HYPERLINK("https://zibs.nl/wiki/AllergieIntolerantie-v3.2(2017NL)#AllergieCategorieCodelijst","AllergieCategorieCodelijst")</f>
        <v>AllergieCategorieCodelijst</v>
      </c>
      <c r="M20" s="57"/>
      <c r="N20" s="53" t="s">
        <v>106</v>
      </c>
      <c r="O20" s="54"/>
    </row>
    <row r="21" spans="1:15" ht="15" x14ac:dyDescent="0.25">
      <c r="A21" s="49" t="s">
        <v>126</v>
      </c>
      <c r="B21" s="61" t="s">
        <v>127</v>
      </c>
      <c r="C21" s="61" t="s">
        <v>139</v>
      </c>
      <c r="D21" s="61"/>
      <c r="E21" s="57" t="s">
        <v>140</v>
      </c>
      <c r="F21" s="57" t="s">
        <v>76</v>
      </c>
      <c r="G21" s="57" t="s">
        <v>69</v>
      </c>
      <c r="H21" s="57" t="s">
        <v>70</v>
      </c>
      <c r="I21" s="57" t="s">
        <v>141</v>
      </c>
      <c r="J21" s="57" t="s">
        <v>142</v>
      </c>
      <c r="K21" s="57"/>
      <c r="L21" s="52" t="str">
        <f>HYPERLINK("https://zibs.nl/wiki/AllergieIntolerantie-v3.2(2017NL)#AllergieStatusCodelijst","AllergieStatusCodelijst")</f>
        <v>AllergieStatusCodelijst</v>
      </c>
      <c r="M21" s="57"/>
      <c r="N21" s="53" t="s">
        <v>106</v>
      </c>
      <c r="O21" s="54"/>
    </row>
    <row r="22" spans="1:15" ht="38.25" x14ac:dyDescent="0.25">
      <c r="A22" s="49" t="s">
        <v>126</v>
      </c>
      <c r="B22" s="61" t="s">
        <v>127</v>
      </c>
      <c r="C22" s="61" t="s">
        <v>118</v>
      </c>
      <c r="D22" s="61"/>
      <c r="E22" s="57" t="s">
        <v>119</v>
      </c>
      <c r="F22" s="57" t="s">
        <v>88</v>
      </c>
      <c r="G22" s="57" t="s">
        <v>69</v>
      </c>
      <c r="H22" s="57" t="s">
        <v>70</v>
      </c>
      <c r="I22" s="57" t="s">
        <v>143</v>
      </c>
      <c r="J22" s="57" t="s">
        <v>144</v>
      </c>
      <c r="K22" s="57"/>
      <c r="L22" s="52" t="str">
        <f>HYPERLINK("https://zibs.nl/wiki/AllergieIntolerantie-v3.2(2017NL)#","")</f>
        <v/>
      </c>
      <c r="M22" s="57"/>
      <c r="N22" s="53" t="s">
        <v>106</v>
      </c>
      <c r="O22" s="54"/>
    </row>
    <row r="23" spans="1:15" ht="63.75" x14ac:dyDescent="0.25">
      <c r="A23" s="49" t="s">
        <v>126</v>
      </c>
      <c r="B23" s="61" t="s">
        <v>127</v>
      </c>
      <c r="C23" s="61" t="s">
        <v>145</v>
      </c>
      <c r="D23" s="61"/>
      <c r="E23" s="57" t="s">
        <v>146</v>
      </c>
      <c r="F23" s="57" t="s">
        <v>76</v>
      </c>
      <c r="G23" s="57" t="s">
        <v>69</v>
      </c>
      <c r="H23" s="57" t="s">
        <v>70</v>
      </c>
      <c r="I23" s="57" t="s">
        <v>147</v>
      </c>
      <c r="J23" s="57" t="s">
        <v>148</v>
      </c>
      <c r="K23" s="57" t="s">
        <v>149</v>
      </c>
      <c r="L23" s="52" t="str">
        <f>HYPERLINK("https://zibs.nl/wiki/AllergieIntolerantie-v3.2(2017NL)#MateVanKritiekZijnCodelijst","MateVanKritiekZijnCodelijst")</f>
        <v>MateVanKritiekZijnCodelijst</v>
      </c>
      <c r="M23" s="57"/>
      <c r="N23" s="53" t="s">
        <v>106</v>
      </c>
      <c r="O23" s="54"/>
    </row>
    <row r="24" spans="1:15" ht="25.5" x14ac:dyDescent="0.25">
      <c r="A24" s="49" t="s">
        <v>126</v>
      </c>
      <c r="B24" s="61" t="s">
        <v>127</v>
      </c>
      <c r="C24" s="61" t="s">
        <v>150</v>
      </c>
      <c r="D24" s="61"/>
      <c r="E24" s="57" t="s">
        <v>151</v>
      </c>
      <c r="F24" s="57" t="s">
        <v>88</v>
      </c>
      <c r="G24" s="57" t="s">
        <v>69</v>
      </c>
      <c r="H24" s="57" t="s">
        <v>70</v>
      </c>
      <c r="I24" s="57" t="s">
        <v>152</v>
      </c>
      <c r="J24" s="57" t="s">
        <v>153</v>
      </c>
      <c r="K24" s="57"/>
      <c r="L24" s="52" t="str">
        <f>HYPERLINK("https://zibs.nl/wiki/AllergieIntolerantie-v3.2(2017NL)#","")</f>
        <v/>
      </c>
      <c r="M24" s="57"/>
      <c r="N24" s="53" t="s">
        <v>106</v>
      </c>
      <c r="O24" s="54"/>
    </row>
    <row r="25" spans="1:15" ht="25.5" x14ac:dyDescent="0.25">
      <c r="A25" s="49" t="s">
        <v>126</v>
      </c>
      <c r="B25" s="61" t="s">
        <v>127</v>
      </c>
      <c r="C25" s="61" t="s">
        <v>66</v>
      </c>
      <c r="D25" s="61"/>
      <c r="E25" s="57" t="s">
        <v>67</v>
      </c>
      <c r="F25" s="57" t="s">
        <v>68</v>
      </c>
      <c r="G25" s="57" t="s">
        <v>69</v>
      </c>
      <c r="H25" s="57" t="s">
        <v>70</v>
      </c>
      <c r="I25" s="57" t="s">
        <v>154</v>
      </c>
      <c r="J25" s="57" t="s">
        <v>155</v>
      </c>
      <c r="K25" s="57" t="s">
        <v>73</v>
      </c>
      <c r="L25" s="52" t="str">
        <f>HYPERLINK("https://zibs.nl/wiki/AllergieIntolerantie-v3.2(2017NL)#","")</f>
        <v/>
      </c>
      <c r="M25" s="57"/>
      <c r="N25" s="53" t="s">
        <v>106</v>
      </c>
      <c r="O25" s="54"/>
    </row>
    <row r="26" spans="1:15" ht="15" x14ac:dyDescent="0.25">
      <c r="A26" s="49" t="s">
        <v>126</v>
      </c>
      <c r="B26" s="66" t="s">
        <v>127</v>
      </c>
      <c r="C26" s="66" t="s">
        <v>156</v>
      </c>
      <c r="D26" s="66"/>
      <c r="E26" s="60" t="s">
        <v>157</v>
      </c>
      <c r="F26" s="60"/>
      <c r="G26" s="60" t="s">
        <v>158</v>
      </c>
      <c r="H26" s="60" t="s">
        <v>83</v>
      </c>
      <c r="I26" s="60" t="s">
        <v>159</v>
      </c>
      <c r="J26" s="60" t="s">
        <v>160</v>
      </c>
      <c r="K26" s="60"/>
      <c r="L26" s="52" t="str">
        <f>HYPERLINK("https://zibs.nl/wiki/AllergieIntolerantie-v3.2(2017NL)#","")</f>
        <v/>
      </c>
      <c r="M26" s="60"/>
      <c r="N26" s="53" t="s">
        <v>106</v>
      </c>
      <c r="O26" s="54"/>
    </row>
    <row r="27" spans="1:15" ht="15" x14ac:dyDescent="0.25">
      <c r="A27" s="49" t="s">
        <v>126</v>
      </c>
      <c r="B27" s="61" t="s">
        <v>127</v>
      </c>
      <c r="C27" s="61" t="s">
        <v>161</v>
      </c>
      <c r="D27" s="61"/>
      <c r="E27" s="57" t="s">
        <v>162</v>
      </c>
      <c r="F27" s="57" t="s">
        <v>76</v>
      </c>
      <c r="G27" s="57" t="s">
        <v>163</v>
      </c>
      <c r="H27" s="57" t="s">
        <v>70</v>
      </c>
      <c r="I27" s="57" t="s">
        <v>164</v>
      </c>
      <c r="J27" s="57" t="s">
        <v>165</v>
      </c>
      <c r="K27" s="57"/>
      <c r="L27" s="52" t="str">
        <f>HYPERLINK("https://zibs.nl/wiki/AllergieIntolerantie-v3.2(2017NL)#SymptoomCodelijst","SymptoomCodelijst")</f>
        <v>SymptoomCodelijst</v>
      </c>
      <c r="M27" s="57"/>
      <c r="N27" s="53" t="s">
        <v>106</v>
      </c>
      <c r="O27" s="54"/>
    </row>
    <row r="28" spans="1:15" ht="25.5" x14ac:dyDescent="0.25">
      <c r="A28" s="49" t="s">
        <v>126</v>
      </c>
      <c r="B28" s="63" t="s">
        <v>127</v>
      </c>
      <c r="C28" s="63" t="s">
        <v>166</v>
      </c>
      <c r="D28" s="63"/>
      <c r="E28" s="57" t="s">
        <v>167</v>
      </c>
      <c r="F28" s="57" t="s">
        <v>76</v>
      </c>
      <c r="G28" s="57" t="s">
        <v>69</v>
      </c>
      <c r="H28" s="57" t="s">
        <v>70</v>
      </c>
      <c r="I28" s="57" t="s">
        <v>168</v>
      </c>
      <c r="J28" s="57" t="s">
        <v>169</v>
      </c>
      <c r="K28" s="57"/>
      <c r="L28" s="52" t="str">
        <f>HYPERLINK("https://zibs.nl/wiki/AllergieIntolerantie-v3.2(2017NL)#SpecifiekeStofAllergeneStoffenCodelijst","SpecifiekeStofAllergeneStoffenCodelijst")</f>
        <v>SpecifiekeStofAllergeneStoffenCodelijst</v>
      </c>
      <c r="M28" s="57"/>
      <c r="N28" s="53" t="s">
        <v>106</v>
      </c>
      <c r="O28" s="54"/>
    </row>
    <row r="29" spans="1:15" ht="25.5" x14ac:dyDescent="0.25">
      <c r="A29" s="49" t="s">
        <v>126</v>
      </c>
      <c r="B29" s="64" t="s">
        <v>127</v>
      </c>
      <c r="C29" s="63" t="s">
        <v>166</v>
      </c>
      <c r="D29" s="63"/>
      <c r="E29" s="57" t="s">
        <v>167</v>
      </c>
      <c r="F29" s="57" t="s">
        <v>76</v>
      </c>
      <c r="G29" s="57" t="s">
        <v>69</v>
      </c>
      <c r="H29" s="57" t="s">
        <v>70</v>
      </c>
      <c r="I29" s="57" t="s">
        <v>168</v>
      </c>
      <c r="J29" s="57" t="s">
        <v>169</v>
      </c>
      <c r="K29" s="57"/>
      <c r="L29" s="52" t="str">
        <f>HYPERLINK("https://zibs.nl/wiki/AllergieIntolerantie-v3.2(2017NL)#SpecifiekeStofHPKCodelijst","SpecifiekeStofHPKCodelijst")</f>
        <v>SpecifiekeStofHPKCodelijst</v>
      </c>
      <c r="M29" s="57"/>
      <c r="N29" s="53" t="s">
        <v>106</v>
      </c>
      <c r="O29" s="54"/>
    </row>
    <row r="30" spans="1:15" ht="25.5" x14ac:dyDescent="0.25">
      <c r="A30" s="49" t="s">
        <v>126</v>
      </c>
      <c r="B30" s="64" t="s">
        <v>127</v>
      </c>
      <c r="C30" s="63" t="s">
        <v>166</v>
      </c>
      <c r="D30" s="63"/>
      <c r="E30" s="57" t="s">
        <v>167</v>
      </c>
      <c r="F30" s="57" t="s">
        <v>76</v>
      </c>
      <c r="G30" s="57" t="s">
        <v>69</v>
      </c>
      <c r="H30" s="57" t="s">
        <v>70</v>
      </c>
      <c r="I30" s="57" t="s">
        <v>168</v>
      </c>
      <c r="J30" s="57" t="s">
        <v>169</v>
      </c>
      <c r="K30" s="57"/>
      <c r="L30" s="52" t="str">
        <f>HYPERLINK("https://zibs.nl/wiki/AllergieIntolerantie-v3.2(2017NL)#SpecifiekeStofSNKCodelijst","SpecifiekeStofSNKCodelijst")</f>
        <v>SpecifiekeStofSNKCodelijst</v>
      </c>
      <c r="M30" s="57"/>
      <c r="N30" s="53" t="s">
        <v>106</v>
      </c>
      <c r="O30" s="54"/>
    </row>
    <row r="31" spans="1:15" ht="25.5" x14ac:dyDescent="0.25">
      <c r="A31" s="49" t="s">
        <v>126</v>
      </c>
      <c r="B31" s="64" t="s">
        <v>127</v>
      </c>
      <c r="C31" s="63" t="s">
        <v>166</v>
      </c>
      <c r="D31" s="63"/>
      <c r="E31" s="57" t="s">
        <v>167</v>
      </c>
      <c r="F31" s="57" t="s">
        <v>76</v>
      </c>
      <c r="G31" s="57" t="s">
        <v>69</v>
      </c>
      <c r="H31" s="57" t="s">
        <v>70</v>
      </c>
      <c r="I31" s="57" t="s">
        <v>168</v>
      </c>
      <c r="J31" s="57" t="s">
        <v>169</v>
      </c>
      <c r="K31" s="57"/>
      <c r="L31" s="52" t="str">
        <f>HYPERLINK("https://zibs.nl/wiki/AllergieIntolerantie-v3.2(2017NL)#SpecifiekeStofSSKCodelijst","SpecifiekeStofSSKCodelijst")</f>
        <v>SpecifiekeStofSSKCodelijst</v>
      </c>
      <c r="M31" s="57"/>
      <c r="N31" s="53" t="s">
        <v>106</v>
      </c>
      <c r="O31" s="54"/>
    </row>
    <row r="32" spans="1:15" ht="25.5" x14ac:dyDescent="0.25">
      <c r="A32" s="49" t="s">
        <v>126</v>
      </c>
      <c r="B32" s="65" t="s">
        <v>127</v>
      </c>
      <c r="C32" s="63" t="s">
        <v>166</v>
      </c>
      <c r="D32" s="63"/>
      <c r="E32" s="57" t="s">
        <v>167</v>
      </c>
      <c r="F32" s="57" t="s">
        <v>76</v>
      </c>
      <c r="G32" s="57" t="s">
        <v>69</v>
      </c>
      <c r="H32" s="57" t="s">
        <v>70</v>
      </c>
      <c r="I32" s="57" t="s">
        <v>168</v>
      </c>
      <c r="J32" s="57" t="s">
        <v>169</v>
      </c>
      <c r="K32" s="57"/>
      <c r="L32" s="52" t="str">
        <f>HYPERLINK("https://zibs.nl/wiki/AllergieIntolerantie-v3.2(2017NL)#SpecifiekeStofThesaurus122Codelijst","SpecifiekeStofThesaurus122Codelijst")</f>
        <v>SpecifiekeStofThesaurus122Codelijst</v>
      </c>
      <c r="M32" s="57"/>
      <c r="N32" s="53" t="s">
        <v>106</v>
      </c>
      <c r="O32" s="54"/>
    </row>
    <row r="33" spans="1:15" ht="25.5" x14ac:dyDescent="0.25">
      <c r="A33" s="49" t="s">
        <v>126</v>
      </c>
      <c r="B33" s="61" t="s">
        <v>127</v>
      </c>
      <c r="C33" s="61" t="s">
        <v>170</v>
      </c>
      <c r="D33" s="61"/>
      <c r="E33" s="57" t="s">
        <v>171</v>
      </c>
      <c r="F33" s="57" t="s">
        <v>68</v>
      </c>
      <c r="G33" s="57" t="s">
        <v>69</v>
      </c>
      <c r="H33" s="57" t="s">
        <v>70</v>
      </c>
      <c r="I33" s="57" t="s">
        <v>172</v>
      </c>
      <c r="J33" s="57" t="s">
        <v>173</v>
      </c>
      <c r="K33" s="57"/>
      <c r="L33" s="52" t="str">
        <f>HYPERLINK("https://zibs.nl/wiki/AllergieIntolerantie-v3.2(2017NL)#","")</f>
        <v/>
      </c>
      <c r="M33" s="57"/>
      <c r="N33" s="53" t="s">
        <v>106</v>
      </c>
      <c r="O33" s="54"/>
    </row>
    <row r="34" spans="1:15" ht="15" x14ac:dyDescent="0.25">
      <c r="A34" s="49" t="s">
        <v>126</v>
      </c>
      <c r="B34" s="61" t="s">
        <v>127</v>
      </c>
      <c r="C34" s="61" t="s">
        <v>174</v>
      </c>
      <c r="D34" s="61"/>
      <c r="E34" s="57" t="s">
        <v>175</v>
      </c>
      <c r="F34" s="57" t="s">
        <v>76</v>
      </c>
      <c r="G34" s="57" t="s">
        <v>69</v>
      </c>
      <c r="H34" s="57" t="s">
        <v>70</v>
      </c>
      <c r="I34" s="57" t="s">
        <v>176</v>
      </c>
      <c r="J34" s="57" t="s">
        <v>177</v>
      </c>
      <c r="K34" s="57"/>
      <c r="L34" s="52" t="str">
        <f>HYPERLINK("https://zibs.nl/wiki/AllergieIntolerantie-v3.2(2017NL)#ErnstCodelijst","ErnstCodelijst")</f>
        <v>ErnstCodelijst</v>
      </c>
      <c r="M34" s="57"/>
      <c r="N34" s="53" t="s">
        <v>106</v>
      </c>
      <c r="O34" s="54"/>
    </row>
    <row r="35" spans="1:15" ht="15" x14ac:dyDescent="0.25">
      <c r="A35" s="49" t="s">
        <v>126</v>
      </c>
      <c r="B35" s="61" t="s">
        <v>127</v>
      </c>
      <c r="C35" s="61" t="s">
        <v>178</v>
      </c>
      <c r="D35" s="61"/>
      <c r="E35" s="57" t="s">
        <v>179</v>
      </c>
      <c r="F35" s="57" t="s">
        <v>76</v>
      </c>
      <c r="G35" s="57" t="s">
        <v>69</v>
      </c>
      <c r="H35" s="57" t="s">
        <v>70</v>
      </c>
      <c r="I35" s="57" t="s">
        <v>180</v>
      </c>
      <c r="J35" s="57" t="s">
        <v>181</v>
      </c>
      <c r="K35" s="57"/>
      <c r="L35" s="52" t="str">
        <f>HYPERLINK("https://zibs.nl/wiki/AllergieIntolerantie-v3.2(2017NL)#WijzeVanBlootstellingCodelijst","WijzeVanBlootstellingCodelijst")</f>
        <v>WijzeVanBlootstellingCodelijst</v>
      </c>
      <c r="M35" s="57"/>
      <c r="N35" s="53" t="s">
        <v>106</v>
      </c>
      <c r="O35" s="54"/>
    </row>
    <row r="36" spans="1:15" ht="25.5" x14ac:dyDescent="0.25">
      <c r="A36" s="49" t="s">
        <v>126</v>
      </c>
      <c r="B36" s="61" t="s">
        <v>127</v>
      </c>
      <c r="C36" s="61" t="s">
        <v>182</v>
      </c>
      <c r="D36" s="61"/>
      <c r="E36" s="57" t="s">
        <v>183</v>
      </c>
      <c r="F36" s="57" t="s">
        <v>88</v>
      </c>
      <c r="G36" s="57" t="s">
        <v>69</v>
      </c>
      <c r="H36" s="57" t="s">
        <v>70</v>
      </c>
      <c r="I36" s="57" t="s">
        <v>184</v>
      </c>
      <c r="J36" s="57" t="s">
        <v>185</v>
      </c>
      <c r="K36" s="57"/>
      <c r="L36" s="52" t="str">
        <f>HYPERLINK("https://zibs.nl/wiki/AllergieIntolerantie-v3.2(2017NL)#","")</f>
        <v/>
      </c>
      <c r="M36" s="57"/>
      <c r="N36" s="53" t="s">
        <v>106</v>
      </c>
      <c r="O36" s="54"/>
    </row>
    <row r="37" spans="1:15" ht="25.5" x14ac:dyDescent="0.25">
      <c r="A37" s="49" t="s">
        <v>186</v>
      </c>
      <c r="B37" s="49" t="s">
        <v>187</v>
      </c>
      <c r="C37" s="49" t="s">
        <v>186</v>
      </c>
      <c r="D37" s="49"/>
      <c r="E37" s="51" t="s">
        <v>188</v>
      </c>
      <c r="F37" s="51"/>
      <c r="G37" s="51"/>
      <c r="H37" s="51" t="s">
        <v>62</v>
      </c>
      <c r="I37" s="51" t="s">
        <v>189</v>
      </c>
      <c r="J37" s="51" t="s">
        <v>190</v>
      </c>
      <c r="K37" s="51"/>
      <c r="L37" s="52" t="str">
        <f>HYPERLINK("https://zibs.nl/wiki/BehandelAanwijzing-v3.1(2017NL)#","")</f>
        <v/>
      </c>
      <c r="M37" s="51"/>
      <c r="N37" s="53" t="s">
        <v>106</v>
      </c>
      <c r="O37" s="54"/>
    </row>
    <row r="38" spans="1:15" ht="15" x14ac:dyDescent="0.25">
      <c r="A38" s="49" t="s">
        <v>186</v>
      </c>
      <c r="B38" s="66" t="s">
        <v>187</v>
      </c>
      <c r="C38" s="66" t="s">
        <v>191</v>
      </c>
      <c r="D38" s="66"/>
      <c r="E38" s="60" t="s">
        <v>192</v>
      </c>
      <c r="F38" s="60"/>
      <c r="G38" s="60" t="s">
        <v>158</v>
      </c>
      <c r="H38" s="60" t="s">
        <v>83</v>
      </c>
      <c r="I38" s="60" t="s">
        <v>193</v>
      </c>
      <c r="J38" s="60" t="s">
        <v>194</v>
      </c>
      <c r="K38" s="60"/>
      <c r="L38" s="52" t="str">
        <f>HYPERLINK("https://zibs.nl/wiki/BehandelAanwijzing-v3.1(2017NL)#","")</f>
        <v/>
      </c>
      <c r="M38" s="60"/>
      <c r="N38" s="53" t="s">
        <v>106</v>
      </c>
      <c r="O38" s="54"/>
    </row>
    <row r="39" spans="1:15" ht="15" x14ac:dyDescent="0.25">
      <c r="A39" s="49" t="s">
        <v>186</v>
      </c>
      <c r="B39" s="61" t="s">
        <v>187</v>
      </c>
      <c r="C39" s="61" t="s">
        <v>195</v>
      </c>
      <c r="D39" s="61"/>
      <c r="E39" s="57" t="s">
        <v>196</v>
      </c>
      <c r="F39" s="57" t="s">
        <v>197</v>
      </c>
      <c r="G39" s="57" t="s">
        <v>77</v>
      </c>
      <c r="H39" s="57" t="s">
        <v>70</v>
      </c>
      <c r="I39" s="57" t="s">
        <v>198</v>
      </c>
      <c r="J39" s="57" t="s">
        <v>199</v>
      </c>
      <c r="K39" s="57"/>
      <c r="L39" s="52" t="str">
        <f>HYPERLINK("https://zibs.nl/wiki/BehandelAanwijzing-v3.1(2017NL)#","")</f>
        <v/>
      </c>
      <c r="M39" s="57"/>
      <c r="N39" s="53" t="s">
        <v>106</v>
      </c>
      <c r="O39" s="54"/>
    </row>
    <row r="40" spans="1:15" ht="15" x14ac:dyDescent="0.25">
      <c r="A40" s="49" t="s">
        <v>186</v>
      </c>
      <c r="B40" s="61" t="s">
        <v>187</v>
      </c>
      <c r="C40" s="61" t="s">
        <v>200</v>
      </c>
      <c r="D40" s="61"/>
      <c r="E40" s="57" t="s">
        <v>201</v>
      </c>
      <c r="F40" s="57" t="s">
        <v>76</v>
      </c>
      <c r="G40" s="57" t="s">
        <v>158</v>
      </c>
      <c r="H40" s="57" t="s">
        <v>70</v>
      </c>
      <c r="I40" s="57" t="s">
        <v>202</v>
      </c>
      <c r="J40" s="57" t="s">
        <v>203</v>
      </c>
      <c r="K40" s="57"/>
      <c r="L40" s="52" t="str">
        <f>HYPERLINK("https://zibs.nl/wiki/BehandelAanwijzing-v3.1(2017NL)#GeverifieerdBijCodelijst","GeverifieerdBijCodelijst")</f>
        <v>GeverifieerdBijCodelijst</v>
      </c>
      <c r="M40" s="57"/>
      <c r="N40" s="53" t="s">
        <v>106</v>
      </c>
      <c r="O40" s="54"/>
    </row>
    <row r="41" spans="1:15" ht="15" x14ac:dyDescent="0.25">
      <c r="A41" s="49" t="s">
        <v>186</v>
      </c>
      <c r="B41" s="61" t="s">
        <v>187</v>
      </c>
      <c r="C41" s="61" t="s">
        <v>204</v>
      </c>
      <c r="D41" s="61"/>
      <c r="E41" s="57" t="s">
        <v>205</v>
      </c>
      <c r="F41" s="57" t="s">
        <v>88</v>
      </c>
      <c r="G41" s="57" t="s">
        <v>69</v>
      </c>
      <c r="H41" s="57" t="s">
        <v>70</v>
      </c>
      <c r="I41" s="57" t="s">
        <v>206</v>
      </c>
      <c r="J41" s="57" t="s">
        <v>207</v>
      </c>
      <c r="K41" s="57"/>
      <c r="L41" s="52" t="str">
        <f>HYPERLINK("https://zibs.nl/wiki/BehandelAanwijzing-v3.1(2017NL)#","")</f>
        <v/>
      </c>
      <c r="M41" s="57"/>
      <c r="N41" s="53" t="s">
        <v>106</v>
      </c>
      <c r="O41" s="54"/>
    </row>
    <row r="42" spans="1:15" ht="38.25" x14ac:dyDescent="0.25">
      <c r="A42" s="49" t="s">
        <v>186</v>
      </c>
      <c r="B42" s="61" t="s">
        <v>187</v>
      </c>
      <c r="C42" s="61" t="s">
        <v>208</v>
      </c>
      <c r="D42" s="61"/>
      <c r="E42" s="57" t="s">
        <v>209</v>
      </c>
      <c r="F42" s="57" t="s">
        <v>76</v>
      </c>
      <c r="G42" s="57" t="s">
        <v>69</v>
      </c>
      <c r="H42" s="57" t="s">
        <v>70</v>
      </c>
      <c r="I42" s="57" t="s">
        <v>210</v>
      </c>
      <c r="J42" s="57" t="s">
        <v>211</v>
      </c>
      <c r="K42" s="57" t="s">
        <v>212</v>
      </c>
      <c r="L42" s="52" t="str">
        <f>HYPERLINK("https://zibs.nl/wiki/BehandelAanwijzing-v3.1(2017NL)#BehandelingCodelijst","BehandelingCodelijst")</f>
        <v>BehandelingCodelijst</v>
      </c>
      <c r="M42" s="57"/>
      <c r="N42" s="53" t="s">
        <v>106</v>
      </c>
      <c r="O42" s="54"/>
    </row>
    <row r="43" spans="1:15" ht="15" x14ac:dyDescent="0.25">
      <c r="A43" s="49" t="s">
        <v>186</v>
      </c>
      <c r="B43" s="61" t="s">
        <v>187</v>
      </c>
      <c r="C43" s="61" t="s">
        <v>213</v>
      </c>
      <c r="D43" s="61"/>
      <c r="E43" s="57" t="s">
        <v>214</v>
      </c>
      <c r="F43" s="57" t="s">
        <v>76</v>
      </c>
      <c r="G43" s="57" t="s">
        <v>77</v>
      </c>
      <c r="H43" s="57" t="s">
        <v>70</v>
      </c>
      <c r="I43" s="57" t="s">
        <v>215</v>
      </c>
      <c r="J43" s="57" t="s">
        <v>216</v>
      </c>
      <c r="K43" s="57"/>
      <c r="L43" s="52" t="str">
        <f>HYPERLINK("https://zibs.nl/wiki/BehandelAanwijzing-v3.1(2017NL)#BehandelingToegestaanCodelijst","BehandelingToegestaanCodelijst")</f>
        <v>BehandelingToegestaanCodelijst</v>
      </c>
      <c r="M43" s="57"/>
      <c r="N43" s="53" t="s">
        <v>106</v>
      </c>
      <c r="O43" s="54"/>
    </row>
    <row r="44" spans="1:15" ht="63.75" x14ac:dyDescent="0.25">
      <c r="A44" s="49" t="s">
        <v>186</v>
      </c>
      <c r="B44" s="61" t="s">
        <v>187</v>
      </c>
      <c r="C44" s="61" t="s">
        <v>217</v>
      </c>
      <c r="D44" s="61"/>
      <c r="E44" s="57" t="s">
        <v>218</v>
      </c>
      <c r="F44" s="57" t="s">
        <v>68</v>
      </c>
      <c r="G44" s="57" t="s">
        <v>69</v>
      </c>
      <c r="H44" s="57" t="s">
        <v>70</v>
      </c>
      <c r="I44" s="57" t="s">
        <v>219</v>
      </c>
      <c r="J44" s="57" t="s">
        <v>220</v>
      </c>
      <c r="K44" s="57"/>
      <c r="L44" s="52" t="str">
        <f>HYPERLINK("https://zibs.nl/wiki/BehandelAanwijzing-v3.1(2017NL)#","")</f>
        <v/>
      </c>
      <c r="M44" s="57" t="s">
        <v>221</v>
      </c>
      <c r="N44" s="53" t="s">
        <v>106</v>
      </c>
      <c r="O44" s="54"/>
    </row>
    <row r="45" spans="1:15" ht="15" x14ac:dyDescent="0.25">
      <c r="A45" s="49" t="s">
        <v>186</v>
      </c>
      <c r="B45" s="61" t="s">
        <v>187</v>
      </c>
      <c r="C45" s="61" t="s">
        <v>222</v>
      </c>
      <c r="D45" s="61"/>
      <c r="E45" s="57" t="s">
        <v>87</v>
      </c>
      <c r="F45" s="57" t="s">
        <v>88</v>
      </c>
      <c r="G45" s="57" t="s">
        <v>69</v>
      </c>
      <c r="H45" s="57" t="s">
        <v>70</v>
      </c>
      <c r="I45" s="57" t="s">
        <v>223</v>
      </c>
      <c r="J45" s="57" t="s">
        <v>224</v>
      </c>
      <c r="K45" s="57"/>
      <c r="L45" s="52" t="str">
        <f>HYPERLINK("https://zibs.nl/wiki/BehandelAanwijzing-v3.1(2017NL)#","")</f>
        <v/>
      </c>
      <c r="M45" s="57"/>
      <c r="N45" s="53" t="s">
        <v>106</v>
      </c>
      <c r="O45" s="54"/>
    </row>
    <row r="46" spans="1:15" ht="51" x14ac:dyDescent="0.25">
      <c r="A46" s="49" t="s">
        <v>186</v>
      </c>
      <c r="B46" s="61" t="s">
        <v>187</v>
      </c>
      <c r="C46" s="61" t="s">
        <v>225</v>
      </c>
      <c r="D46" s="61"/>
      <c r="E46" s="57" t="s">
        <v>226</v>
      </c>
      <c r="F46" s="57" t="s">
        <v>88</v>
      </c>
      <c r="G46" s="57" t="s">
        <v>69</v>
      </c>
      <c r="H46" s="57" t="s">
        <v>70</v>
      </c>
      <c r="I46" s="57" t="s">
        <v>227</v>
      </c>
      <c r="J46" s="57" t="s">
        <v>228</v>
      </c>
      <c r="K46" s="57"/>
      <c r="L46" s="52" t="str">
        <f>HYPERLINK("https://zibs.nl/wiki/BehandelAanwijzing-v3.1(2017NL)#","")</f>
        <v/>
      </c>
      <c r="M46" s="57"/>
      <c r="N46" s="53" t="s">
        <v>106</v>
      </c>
      <c r="O46" s="54"/>
    </row>
    <row r="47" spans="1:15" ht="25.5" x14ac:dyDescent="0.25">
      <c r="A47" s="49" t="s">
        <v>186</v>
      </c>
      <c r="B47" s="61" t="s">
        <v>187</v>
      </c>
      <c r="C47" s="61" t="s">
        <v>66</v>
      </c>
      <c r="D47" s="61"/>
      <c r="E47" s="57" t="s">
        <v>67</v>
      </c>
      <c r="F47" s="57" t="s">
        <v>68</v>
      </c>
      <c r="G47" s="57" t="s">
        <v>69</v>
      </c>
      <c r="H47" s="57" t="s">
        <v>70</v>
      </c>
      <c r="I47" s="57" t="s">
        <v>229</v>
      </c>
      <c r="J47" s="57" t="s">
        <v>230</v>
      </c>
      <c r="K47" s="57" t="s">
        <v>73</v>
      </c>
      <c r="L47" s="52" t="str">
        <f>HYPERLINK("https://zibs.nl/wiki/BehandelAanwijzing-v3.1(2017NL)#","")</f>
        <v/>
      </c>
      <c r="M47" s="57"/>
      <c r="N47" s="53" t="s">
        <v>106</v>
      </c>
      <c r="O47" s="54"/>
    </row>
    <row r="48" spans="1:15" ht="25.5" x14ac:dyDescent="0.25">
      <c r="A48" s="49" t="s">
        <v>186</v>
      </c>
      <c r="B48" s="61" t="s">
        <v>187</v>
      </c>
      <c r="C48" s="61" t="s">
        <v>231</v>
      </c>
      <c r="D48" s="61"/>
      <c r="E48" s="57" t="s">
        <v>232</v>
      </c>
      <c r="F48" s="57"/>
      <c r="G48" s="57" t="s">
        <v>158</v>
      </c>
      <c r="H48" s="57" t="s">
        <v>110</v>
      </c>
      <c r="I48" s="57" t="s">
        <v>233</v>
      </c>
      <c r="J48" s="57" t="s">
        <v>234</v>
      </c>
      <c r="K48" s="57"/>
      <c r="L48" s="62" t="s">
        <v>235</v>
      </c>
      <c r="M48" s="57"/>
      <c r="N48" s="53" t="s">
        <v>106</v>
      </c>
      <c r="O48" s="54"/>
    </row>
    <row r="49" spans="1:15" ht="15" x14ac:dyDescent="0.25">
      <c r="A49" s="49" t="s">
        <v>236</v>
      </c>
      <c r="B49" s="49" t="s">
        <v>237</v>
      </c>
      <c r="C49" s="49" t="s">
        <v>236</v>
      </c>
      <c r="D49" s="49"/>
      <c r="E49" s="51" t="s">
        <v>238</v>
      </c>
      <c r="F49" s="51"/>
      <c r="G49" s="51"/>
      <c r="H49" s="51" t="s">
        <v>62</v>
      </c>
      <c r="I49" s="51" t="s">
        <v>239</v>
      </c>
      <c r="J49" s="51" t="s">
        <v>240</v>
      </c>
      <c r="K49" s="51"/>
      <c r="L49" s="52" t="str">
        <f t="shared" ref="L49:L59" si="0">HYPERLINK("https://zibs.nl/wiki/Betaler-v3.1(2017NL)#","")</f>
        <v/>
      </c>
      <c r="M49" s="51"/>
      <c r="N49" s="53" t="s">
        <v>106</v>
      </c>
      <c r="O49" s="54"/>
    </row>
    <row r="50" spans="1:15" ht="15" x14ac:dyDescent="0.25">
      <c r="A50" s="49" t="s">
        <v>236</v>
      </c>
      <c r="B50" s="66" t="s">
        <v>237</v>
      </c>
      <c r="C50" s="66" t="s">
        <v>241</v>
      </c>
      <c r="D50" s="66"/>
      <c r="E50" s="60" t="s">
        <v>242</v>
      </c>
      <c r="F50" s="60"/>
      <c r="G50" s="60" t="s">
        <v>109</v>
      </c>
      <c r="H50" s="60" t="s">
        <v>83</v>
      </c>
      <c r="I50" s="60" t="s">
        <v>243</v>
      </c>
      <c r="J50" s="60" t="s">
        <v>244</v>
      </c>
      <c r="K50" s="60"/>
      <c r="L50" s="52" t="str">
        <f t="shared" si="0"/>
        <v/>
      </c>
      <c r="M50" s="60"/>
      <c r="N50" s="53" t="s">
        <v>106</v>
      </c>
      <c r="O50" s="54"/>
    </row>
    <row r="51" spans="1:15" ht="15" x14ac:dyDescent="0.25">
      <c r="A51" s="49" t="s">
        <v>236</v>
      </c>
      <c r="B51" s="61" t="s">
        <v>237</v>
      </c>
      <c r="C51" s="61" t="s">
        <v>245</v>
      </c>
      <c r="D51" s="61"/>
      <c r="E51" s="57" t="s">
        <v>246</v>
      </c>
      <c r="F51" s="57" t="s">
        <v>68</v>
      </c>
      <c r="G51" s="57" t="s">
        <v>69</v>
      </c>
      <c r="H51" s="57" t="s">
        <v>70</v>
      </c>
      <c r="I51" s="57" t="s">
        <v>247</v>
      </c>
      <c r="J51" s="57" t="s">
        <v>248</v>
      </c>
      <c r="K51" s="57"/>
      <c r="L51" s="52" t="str">
        <f t="shared" si="0"/>
        <v/>
      </c>
      <c r="M51" s="57"/>
      <c r="N51" s="53" t="s">
        <v>106</v>
      </c>
      <c r="O51" s="54"/>
    </row>
    <row r="52" spans="1:15" ht="15" x14ac:dyDescent="0.25">
      <c r="A52" s="49" t="s">
        <v>236</v>
      </c>
      <c r="B52" s="66" t="s">
        <v>237</v>
      </c>
      <c r="C52" s="66" t="s">
        <v>249</v>
      </c>
      <c r="D52" s="66"/>
      <c r="E52" s="60" t="s">
        <v>250</v>
      </c>
      <c r="F52" s="60"/>
      <c r="G52" s="60" t="s">
        <v>158</v>
      </c>
      <c r="H52" s="60" t="s">
        <v>83</v>
      </c>
      <c r="I52" s="60" t="s">
        <v>251</v>
      </c>
      <c r="J52" s="60" t="s">
        <v>252</v>
      </c>
      <c r="K52" s="60"/>
      <c r="L52" s="52" t="str">
        <f t="shared" si="0"/>
        <v/>
      </c>
      <c r="M52" s="60"/>
      <c r="N52" s="53" t="s">
        <v>106</v>
      </c>
      <c r="O52" s="54"/>
    </row>
    <row r="53" spans="1:15" ht="15" x14ac:dyDescent="0.25">
      <c r="A53" s="49" t="s">
        <v>236</v>
      </c>
      <c r="B53" s="61" t="s">
        <v>237</v>
      </c>
      <c r="C53" s="61" t="s">
        <v>253</v>
      </c>
      <c r="D53" s="61"/>
      <c r="E53" s="57" t="s">
        <v>254</v>
      </c>
      <c r="F53" s="57" t="s">
        <v>68</v>
      </c>
      <c r="G53" s="57" t="s">
        <v>69</v>
      </c>
      <c r="H53" s="57" t="s">
        <v>70</v>
      </c>
      <c r="I53" s="57" t="s">
        <v>255</v>
      </c>
      <c r="J53" s="57" t="s">
        <v>256</v>
      </c>
      <c r="K53" s="57"/>
      <c r="L53" s="52" t="str">
        <f t="shared" si="0"/>
        <v/>
      </c>
      <c r="M53" s="57"/>
      <c r="N53" s="53" t="s">
        <v>106</v>
      </c>
      <c r="O53" s="54"/>
    </row>
    <row r="54" spans="1:15" ht="15" x14ac:dyDescent="0.25">
      <c r="A54" s="49" t="s">
        <v>236</v>
      </c>
      <c r="B54" s="61" t="s">
        <v>237</v>
      </c>
      <c r="C54" s="61" t="s">
        <v>257</v>
      </c>
      <c r="D54" s="61"/>
      <c r="E54" s="57" t="s">
        <v>258</v>
      </c>
      <c r="F54" s="57" t="s">
        <v>68</v>
      </c>
      <c r="G54" s="57" t="s">
        <v>69</v>
      </c>
      <c r="H54" s="57" t="s">
        <v>70</v>
      </c>
      <c r="I54" s="57" t="s">
        <v>259</v>
      </c>
      <c r="J54" s="57" t="s">
        <v>260</v>
      </c>
      <c r="K54" s="57"/>
      <c r="L54" s="52" t="str">
        <f t="shared" si="0"/>
        <v/>
      </c>
      <c r="M54" s="57"/>
      <c r="N54" s="53" t="s">
        <v>106</v>
      </c>
      <c r="O54" s="54"/>
    </row>
    <row r="55" spans="1:15" ht="15" x14ac:dyDescent="0.25">
      <c r="A55" s="49" t="s">
        <v>236</v>
      </c>
      <c r="B55" s="61" t="s">
        <v>237</v>
      </c>
      <c r="C55" s="61" t="s">
        <v>261</v>
      </c>
      <c r="D55" s="61"/>
      <c r="E55" s="57" t="s">
        <v>262</v>
      </c>
      <c r="F55" s="57" t="s">
        <v>68</v>
      </c>
      <c r="G55" s="57" t="s">
        <v>77</v>
      </c>
      <c r="H55" s="57" t="s">
        <v>70</v>
      </c>
      <c r="I55" s="57" t="s">
        <v>263</v>
      </c>
      <c r="J55" s="57" t="s">
        <v>264</v>
      </c>
      <c r="K55" s="57"/>
      <c r="L55" s="52" t="str">
        <f t="shared" si="0"/>
        <v/>
      </c>
      <c r="M55" s="57"/>
      <c r="N55" s="53" t="s">
        <v>106</v>
      </c>
      <c r="O55" s="54"/>
    </row>
    <row r="56" spans="1:15" ht="15" x14ac:dyDescent="0.25">
      <c r="A56" s="49" t="s">
        <v>236</v>
      </c>
      <c r="B56" s="66" t="s">
        <v>237</v>
      </c>
      <c r="C56" s="66" t="s">
        <v>265</v>
      </c>
      <c r="D56" s="66"/>
      <c r="E56" s="60" t="s">
        <v>266</v>
      </c>
      <c r="F56" s="60"/>
      <c r="G56" s="60" t="s">
        <v>109</v>
      </c>
      <c r="H56" s="60" t="s">
        <v>83</v>
      </c>
      <c r="I56" s="60" t="s">
        <v>267</v>
      </c>
      <c r="J56" s="60" t="s">
        <v>268</v>
      </c>
      <c r="K56" s="60"/>
      <c r="L56" s="52" t="str">
        <f t="shared" si="0"/>
        <v/>
      </c>
      <c r="M56" s="60"/>
      <c r="N56" s="53" t="s">
        <v>106</v>
      </c>
      <c r="O56" s="54"/>
    </row>
    <row r="57" spans="1:15" ht="15" x14ac:dyDescent="0.25">
      <c r="A57" s="49" t="s">
        <v>236</v>
      </c>
      <c r="B57" s="66" t="s">
        <v>237</v>
      </c>
      <c r="C57" s="66" t="s">
        <v>269</v>
      </c>
      <c r="D57" s="66"/>
      <c r="E57" s="60" t="s">
        <v>270</v>
      </c>
      <c r="F57" s="60"/>
      <c r="G57" s="60" t="s">
        <v>163</v>
      </c>
      <c r="H57" s="60" t="s">
        <v>83</v>
      </c>
      <c r="I57" s="60" t="s">
        <v>271</v>
      </c>
      <c r="J57" s="60" t="s">
        <v>272</v>
      </c>
      <c r="K57" s="60"/>
      <c r="L57" s="52" t="str">
        <f t="shared" si="0"/>
        <v/>
      </c>
      <c r="M57" s="60"/>
      <c r="N57" s="53" t="s">
        <v>106</v>
      </c>
      <c r="O57" s="54"/>
    </row>
    <row r="58" spans="1:15" ht="15" x14ac:dyDescent="0.25">
      <c r="A58" s="49" t="s">
        <v>236</v>
      </c>
      <c r="B58" s="61" t="s">
        <v>237</v>
      </c>
      <c r="C58" s="61" t="s">
        <v>118</v>
      </c>
      <c r="D58" s="61"/>
      <c r="E58" s="57" t="s">
        <v>119</v>
      </c>
      <c r="F58" s="57" t="s">
        <v>88</v>
      </c>
      <c r="G58" s="57" t="s">
        <v>69</v>
      </c>
      <c r="H58" s="57" t="s">
        <v>70</v>
      </c>
      <c r="I58" s="57" t="s">
        <v>273</v>
      </c>
      <c r="J58" s="57" t="s">
        <v>274</v>
      </c>
      <c r="K58" s="57"/>
      <c r="L58" s="52" t="str">
        <f t="shared" si="0"/>
        <v/>
      </c>
      <c r="M58" s="57"/>
      <c r="N58" s="53" t="s">
        <v>106</v>
      </c>
      <c r="O58" s="54"/>
    </row>
    <row r="59" spans="1:15" ht="15" x14ac:dyDescent="0.25">
      <c r="A59" s="49" t="s">
        <v>236</v>
      </c>
      <c r="B59" s="61" t="s">
        <v>237</v>
      </c>
      <c r="C59" s="61" t="s">
        <v>275</v>
      </c>
      <c r="D59" s="61"/>
      <c r="E59" s="57" t="s">
        <v>276</v>
      </c>
      <c r="F59" s="57" t="s">
        <v>88</v>
      </c>
      <c r="G59" s="57" t="s">
        <v>77</v>
      </c>
      <c r="H59" s="57" t="s">
        <v>70</v>
      </c>
      <c r="I59" s="57" t="s">
        <v>277</v>
      </c>
      <c r="J59" s="57" t="s">
        <v>278</v>
      </c>
      <c r="K59" s="57"/>
      <c r="L59" s="52" t="str">
        <f t="shared" si="0"/>
        <v/>
      </c>
      <c r="M59" s="57"/>
      <c r="N59" s="53" t="s">
        <v>106</v>
      </c>
      <c r="O59" s="54"/>
    </row>
    <row r="60" spans="1:15" ht="15" x14ac:dyDescent="0.25">
      <c r="A60" s="49" t="s">
        <v>236</v>
      </c>
      <c r="B60" s="61" t="s">
        <v>237</v>
      </c>
      <c r="C60" s="61" t="s">
        <v>279</v>
      </c>
      <c r="D60" s="61"/>
      <c r="E60" s="57" t="s">
        <v>280</v>
      </c>
      <c r="F60" s="57" t="s">
        <v>76</v>
      </c>
      <c r="G60" s="57" t="s">
        <v>77</v>
      </c>
      <c r="H60" s="57" t="s">
        <v>70</v>
      </c>
      <c r="I60" s="57" t="s">
        <v>281</v>
      </c>
      <c r="J60" s="57" t="s">
        <v>282</v>
      </c>
      <c r="K60" s="57"/>
      <c r="L60" s="52" t="str">
        <f>HYPERLINK("https://zibs.nl/wiki/Betaler-v3.1(2017NL)#VerzekeringssoortCodelijst","VerzekeringssoortCodelijst")</f>
        <v>VerzekeringssoortCodelijst</v>
      </c>
      <c r="M60" s="57"/>
      <c r="N60" s="53" t="s">
        <v>106</v>
      </c>
      <c r="O60" s="54"/>
    </row>
    <row r="61" spans="1:15" ht="25.5" x14ac:dyDescent="0.25">
      <c r="A61" s="49" t="s">
        <v>236</v>
      </c>
      <c r="B61" s="61" t="s">
        <v>237</v>
      </c>
      <c r="C61" s="61" t="s">
        <v>283</v>
      </c>
      <c r="D61" s="61"/>
      <c r="E61" s="57" t="s">
        <v>284</v>
      </c>
      <c r="F61" s="57" t="s">
        <v>285</v>
      </c>
      <c r="G61" s="57" t="s">
        <v>69</v>
      </c>
      <c r="H61" s="57" t="s">
        <v>70</v>
      </c>
      <c r="I61" s="57" t="s">
        <v>286</v>
      </c>
      <c r="J61" s="57" t="s">
        <v>287</v>
      </c>
      <c r="K61" s="57"/>
      <c r="L61" s="52" t="str">
        <f>HYPERLINK("https://zibs.nl/wiki/Betaler-v3.1(2017NL)#UZOVI","UZOVI")</f>
        <v>UZOVI</v>
      </c>
      <c r="M61" s="57"/>
      <c r="N61" s="53" t="s">
        <v>106</v>
      </c>
      <c r="O61" s="54"/>
    </row>
    <row r="62" spans="1:15" ht="25.5" x14ac:dyDescent="0.25">
      <c r="A62" s="49" t="s">
        <v>236</v>
      </c>
      <c r="B62" s="61" t="s">
        <v>237</v>
      </c>
      <c r="C62" s="61" t="s">
        <v>288</v>
      </c>
      <c r="D62" s="61"/>
      <c r="E62" s="57" t="s">
        <v>289</v>
      </c>
      <c r="F62" s="57" t="s">
        <v>68</v>
      </c>
      <c r="G62" s="57" t="s">
        <v>69</v>
      </c>
      <c r="H62" s="57" t="s">
        <v>70</v>
      </c>
      <c r="I62" s="57" t="s">
        <v>290</v>
      </c>
      <c r="J62" s="57" t="s">
        <v>291</v>
      </c>
      <c r="K62" s="57"/>
      <c r="L62" s="52" t="str">
        <f>HYPERLINK("https://zibs.nl/wiki/Betaler-v3.1(2017NL)#","")</f>
        <v/>
      </c>
      <c r="M62" s="57"/>
      <c r="N62" s="53" t="s">
        <v>106</v>
      </c>
      <c r="O62" s="54"/>
    </row>
    <row r="63" spans="1:15" ht="15" x14ac:dyDescent="0.25">
      <c r="A63" s="49" t="s">
        <v>236</v>
      </c>
      <c r="B63" s="61" t="s">
        <v>237</v>
      </c>
      <c r="C63" s="61" t="s">
        <v>292</v>
      </c>
      <c r="D63" s="61"/>
      <c r="E63" s="57" t="s">
        <v>293</v>
      </c>
      <c r="F63" s="57" t="s">
        <v>68</v>
      </c>
      <c r="G63" s="57" t="s">
        <v>77</v>
      </c>
      <c r="H63" s="57" t="s">
        <v>70</v>
      </c>
      <c r="I63" s="57" t="s">
        <v>294</v>
      </c>
      <c r="J63" s="57" t="s">
        <v>278</v>
      </c>
      <c r="K63" s="57"/>
      <c r="L63" s="52" t="str">
        <f>HYPERLINK("https://zibs.nl/wiki/Betaler-v3.1(2017NL)#","")</f>
        <v/>
      </c>
      <c r="M63" s="57"/>
      <c r="N63" s="53" t="s">
        <v>106</v>
      </c>
      <c r="O63" s="54"/>
    </row>
    <row r="64" spans="1:15" ht="25.5" x14ac:dyDescent="0.25">
      <c r="A64" s="49" t="s">
        <v>236</v>
      </c>
      <c r="B64" s="61" t="s">
        <v>237</v>
      </c>
      <c r="C64" s="61" t="s">
        <v>295</v>
      </c>
      <c r="D64" s="61"/>
      <c r="E64" s="57" t="s">
        <v>296</v>
      </c>
      <c r="F64" s="57"/>
      <c r="G64" s="57" t="s">
        <v>158</v>
      </c>
      <c r="H64" s="57" t="s">
        <v>110</v>
      </c>
      <c r="I64" s="57" t="s">
        <v>297</v>
      </c>
      <c r="J64" s="57" t="s">
        <v>298</v>
      </c>
      <c r="K64" s="57"/>
      <c r="L64" s="62" t="s">
        <v>299</v>
      </c>
      <c r="M64" s="57"/>
      <c r="N64" s="53" t="s">
        <v>106</v>
      </c>
      <c r="O64" s="54"/>
    </row>
    <row r="65" spans="1:15" ht="25.5" x14ac:dyDescent="0.25">
      <c r="A65" s="49" t="s">
        <v>236</v>
      </c>
      <c r="B65" s="61" t="s">
        <v>237</v>
      </c>
      <c r="C65" s="61" t="s">
        <v>300</v>
      </c>
      <c r="D65" s="61"/>
      <c r="E65" s="57" t="s">
        <v>301</v>
      </c>
      <c r="F65" s="57"/>
      <c r="G65" s="57" t="s">
        <v>158</v>
      </c>
      <c r="H65" s="57" t="s">
        <v>110</v>
      </c>
      <c r="I65" s="57" t="s">
        <v>302</v>
      </c>
      <c r="J65" s="57" t="s">
        <v>303</v>
      </c>
      <c r="K65" s="57"/>
      <c r="L65" s="62" t="s">
        <v>304</v>
      </c>
      <c r="M65" s="57"/>
      <c r="N65" s="53" t="s">
        <v>106</v>
      </c>
      <c r="O65" s="54"/>
    </row>
    <row r="66" spans="1:15" ht="38.25" x14ac:dyDescent="0.25">
      <c r="A66" s="49" t="s">
        <v>305</v>
      </c>
      <c r="B66" s="49" t="s">
        <v>306</v>
      </c>
      <c r="C66" s="49" t="s">
        <v>305</v>
      </c>
      <c r="D66" s="49"/>
      <c r="E66" s="51" t="s">
        <v>307</v>
      </c>
      <c r="F66" s="51"/>
      <c r="G66" s="51"/>
      <c r="H66" s="51" t="s">
        <v>62</v>
      </c>
      <c r="I66" s="51" t="s">
        <v>308</v>
      </c>
      <c r="J66" s="51" t="s">
        <v>309</v>
      </c>
      <c r="K66" s="51" t="s">
        <v>310</v>
      </c>
      <c r="L66" s="52" t="str">
        <f>HYPERLINK("https://zibs.nl/wiki/Bloeddruk-v3.1(2017NL)#","")</f>
        <v/>
      </c>
      <c r="M66" s="51"/>
      <c r="N66" s="53" t="s">
        <v>106</v>
      </c>
      <c r="O66" s="54"/>
    </row>
    <row r="67" spans="1:15" ht="15" x14ac:dyDescent="0.25">
      <c r="A67" s="49" t="s">
        <v>305</v>
      </c>
      <c r="B67" s="61" t="s">
        <v>306</v>
      </c>
      <c r="C67" s="61" t="s">
        <v>311</v>
      </c>
      <c r="D67" s="61"/>
      <c r="E67" s="57" t="s">
        <v>312</v>
      </c>
      <c r="F67" s="57" t="s">
        <v>76</v>
      </c>
      <c r="G67" s="57" t="s">
        <v>69</v>
      </c>
      <c r="H67" s="57" t="s">
        <v>70</v>
      </c>
      <c r="I67" s="57" t="s">
        <v>313</v>
      </c>
      <c r="J67" s="57" t="s">
        <v>314</v>
      </c>
      <c r="K67" s="57"/>
      <c r="L67" s="52" t="str">
        <f>HYPERLINK("https://zibs.nl/wiki/Bloeddruk-v3.1(2017NL)#MeetmethodeCodelijst","MeetmethodeCodelijst")</f>
        <v>MeetmethodeCodelijst</v>
      </c>
      <c r="M67" s="57"/>
      <c r="N67" s="53" t="s">
        <v>106</v>
      </c>
      <c r="O67" s="54"/>
    </row>
    <row r="68" spans="1:15" ht="25.5" x14ac:dyDescent="0.25">
      <c r="A68" s="49" t="s">
        <v>305</v>
      </c>
      <c r="B68" s="61" t="s">
        <v>306</v>
      </c>
      <c r="C68" s="61" t="s">
        <v>315</v>
      </c>
      <c r="D68" s="61"/>
      <c r="E68" s="57" t="s">
        <v>316</v>
      </c>
      <c r="F68" s="57" t="s">
        <v>76</v>
      </c>
      <c r="G68" s="57" t="s">
        <v>69</v>
      </c>
      <c r="H68" s="57" t="s">
        <v>70</v>
      </c>
      <c r="I68" s="57" t="s">
        <v>317</v>
      </c>
      <c r="J68" s="57" t="s">
        <v>318</v>
      </c>
      <c r="K68" s="57" t="s">
        <v>319</v>
      </c>
      <c r="L68" s="52" t="str">
        <f>HYPERLINK("https://zibs.nl/wiki/Bloeddruk-v3.1(2017NL)#ManchetTypeCodelijst","ManchetTypeCodelijst")</f>
        <v>ManchetTypeCodelijst</v>
      </c>
      <c r="M68" s="57"/>
      <c r="N68" s="53" t="s">
        <v>106</v>
      </c>
      <c r="O68" s="54"/>
    </row>
    <row r="69" spans="1:15" ht="25.5" x14ac:dyDescent="0.25">
      <c r="A69" s="49" t="s">
        <v>305</v>
      </c>
      <c r="B69" s="61" t="s">
        <v>306</v>
      </c>
      <c r="C69" s="61" t="s">
        <v>320</v>
      </c>
      <c r="D69" s="61"/>
      <c r="E69" s="57" t="s">
        <v>321</v>
      </c>
      <c r="F69" s="57" t="s">
        <v>76</v>
      </c>
      <c r="G69" s="57" t="s">
        <v>69</v>
      </c>
      <c r="H69" s="57" t="s">
        <v>70</v>
      </c>
      <c r="I69" s="57" t="s">
        <v>322</v>
      </c>
      <c r="J69" s="57" t="s">
        <v>323</v>
      </c>
      <c r="K69" s="57"/>
      <c r="L69" s="52" t="str">
        <f>HYPERLINK("https://zibs.nl/wiki/Bloeddruk-v3.1(2017NL)#MeetLocatieCodelijst","MeetLocatieCodelijst")</f>
        <v>MeetLocatieCodelijst</v>
      </c>
      <c r="M69" s="57"/>
      <c r="N69" s="53" t="s">
        <v>106</v>
      </c>
      <c r="O69" s="54"/>
    </row>
    <row r="70" spans="1:15" ht="25.5" x14ac:dyDescent="0.25">
      <c r="A70" s="49" t="s">
        <v>305</v>
      </c>
      <c r="B70" s="61" t="s">
        <v>306</v>
      </c>
      <c r="C70" s="61" t="s">
        <v>324</v>
      </c>
      <c r="D70" s="61"/>
      <c r="E70" s="57" t="s">
        <v>325</v>
      </c>
      <c r="F70" s="57" t="s">
        <v>76</v>
      </c>
      <c r="G70" s="57" t="s">
        <v>69</v>
      </c>
      <c r="H70" s="57" t="s">
        <v>70</v>
      </c>
      <c r="I70" s="57" t="s">
        <v>326</v>
      </c>
      <c r="J70" s="57" t="s">
        <v>327</v>
      </c>
      <c r="K70" s="57" t="s">
        <v>328</v>
      </c>
      <c r="L70" s="52" t="str">
        <f>HYPERLINK("https://zibs.nl/wiki/Bloeddruk-v3.1(2017NL)#DiastolischEindpuntCodelijst","DiastolischEindpuntCodelijst")</f>
        <v>DiastolischEindpuntCodelijst</v>
      </c>
      <c r="M70" s="57"/>
      <c r="N70" s="53" t="s">
        <v>106</v>
      </c>
      <c r="O70" s="54"/>
    </row>
    <row r="71" spans="1:15" ht="25.5" x14ac:dyDescent="0.25">
      <c r="A71" s="49" t="s">
        <v>305</v>
      </c>
      <c r="B71" s="61" t="s">
        <v>306</v>
      </c>
      <c r="C71" s="61" t="s">
        <v>329</v>
      </c>
      <c r="D71" s="61"/>
      <c r="E71" s="57" t="s">
        <v>330</v>
      </c>
      <c r="F71" s="57" t="s">
        <v>97</v>
      </c>
      <c r="G71" s="57" t="s">
        <v>77</v>
      </c>
      <c r="H71" s="57" t="s">
        <v>70</v>
      </c>
      <c r="I71" s="57" t="s">
        <v>331</v>
      </c>
      <c r="J71" s="57" t="s">
        <v>332</v>
      </c>
      <c r="K71" s="57" t="s">
        <v>333</v>
      </c>
      <c r="L71" s="52" t="str">
        <f>HYPERLINK("https://zibs.nl/wiki/Bloeddruk-v3.1(2017NL)#","")</f>
        <v/>
      </c>
      <c r="M71" s="57"/>
      <c r="N71" s="53" t="s">
        <v>106</v>
      </c>
      <c r="O71" s="54"/>
    </row>
    <row r="72" spans="1:15" ht="38.25" x14ac:dyDescent="0.25">
      <c r="A72" s="49" t="s">
        <v>305</v>
      </c>
      <c r="B72" s="61" t="s">
        <v>306</v>
      </c>
      <c r="C72" s="61" t="s">
        <v>334</v>
      </c>
      <c r="D72" s="61"/>
      <c r="E72" s="57" t="s">
        <v>335</v>
      </c>
      <c r="F72" s="57" t="s">
        <v>97</v>
      </c>
      <c r="G72" s="57" t="s">
        <v>77</v>
      </c>
      <c r="H72" s="57" t="s">
        <v>70</v>
      </c>
      <c r="I72" s="57" t="s">
        <v>336</v>
      </c>
      <c r="J72" s="57" t="s">
        <v>337</v>
      </c>
      <c r="K72" s="57" t="s">
        <v>338</v>
      </c>
      <c r="L72" s="52" t="str">
        <f>HYPERLINK("https://zibs.nl/wiki/Bloeddruk-v3.1(2017NL)#","")</f>
        <v/>
      </c>
      <c r="M72" s="57"/>
      <c r="N72" s="53" t="s">
        <v>106</v>
      </c>
      <c r="O72" s="54"/>
    </row>
    <row r="73" spans="1:15" ht="38.25" x14ac:dyDescent="0.25">
      <c r="A73" s="49" t="s">
        <v>305</v>
      </c>
      <c r="B73" s="61" t="s">
        <v>306</v>
      </c>
      <c r="C73" s="61" t="s">
        <v>339</v>
      </c>
      <c r="D73" s="61"/>
      <c r="E73" s="57" t="s">
        <v>340</v>
      </c>
      <c r="F73" s="57" t="s">
        <v>97</v>
      </c>
      <c r="G73" s="57" t="s">
        <v>69</v>
      </c>
      <c r="H73" s="57" t="s">
        <v>341</v>
      </c>
      <c r="I73" s="57" t="s">
        <v>342</v>
      </c>
      <c r="J73" s="57" t="s">
        <v>343</v>
      </c>
      <c r="K73" s="57" t="s">
        <v>344</v>
      </c>
      <c r="L73" s="52" t="str">
        <f>HYPERLINK("https://zibs.nl/wiki/Bloeddruk-v3.1(2017NL)#","")</f>
        <v/>
      </c>
      <c r="M73" s="57"/>
      <c r="N73" s="53" t="s">
        <v>106</v>
      </c>
      <c r="O73" s="54"/>
    </row>
    <row r="74" spans="1:15" ht="38.25" x14ac:dyDescent="0.25">
      <c r="A74" s="49" t="s">
        <v>305</v>
      </c>
      <c r="B74" s="61" t="s">
        <v>306</v>
      </c>
      <c r="C74" s="61" t="s">
        <v>345</v>
      </c>
      <c r="D74" s="61"/>
      <c r="E74" s="57" t="s">
        <v>346</v>
      </c>
      <c r="F74" s="57" t="s">
        <v>88</v>
      </c>
      <c r="G74" s="57" t="s">
        <v>77</v>
      </c>
      <c r="H74" s="57" t="s">
        <v>70</v>
      </c>
      <c r="I74" s="57" t="s">
        <v>347</v>
      </c>
      <c r="J74" s="57" t="s">
        <v>348</v>
      </c>
      <c r="K74" s="57"/>
      <c r="L74" s="52" t="str">
        <f>HYPERLINK("https://zibs.nl/wiki/Bloeddruk-v3.1(2017NL)#","")</f>
        <v/>
      </c>
      <c r="M74" s="57"/>
      <c r="N74" s="53" t="s">
        <v>106</v>
      </c>
      <c r="O74" s="54"/>
    </row>
    <row r="75" spans="1:15" ht="25.5" x14ac:dyDescent="0.25">
      <c r="A75" s="49" t="s">
        <v>305</v>
      </c>
      <c r="B75" s="61" t="s">
        <v>306</v>
      </c>
      <c r="C75" s="61" t="s">
        <v>66</v>
      </c>
      <c r="D75" s="61"/>
      <c r="E75" s="57" t="s">
        <v>67</v>
      </c>
      <c r="F75" s="57" t="s">
        <v>68</v>
      </c>
      <c r="G75" s="57" t="s">
        <v>69</v>
      </c>
      <c r="H75" s="57" t="s">
        <v>70</v>
      </c>
      <c r="I75" s="57" t="s">
        <v>349</v>
      </c>
      <c r="J75" s="57" t="s">
        <v>350</v>
      </c>
      <c r="K75" s="57" t="s">
        <v>73</v>
      </c>
      <c r="L75" s="52" t="str">
        <f>HYPERLINK("https://zibs.nl/wiki/Bloeddruk-v3.1(2017NL)#","")</f>
        <v/>
      </c>
      <c r="M75" s="57"/>
      <c r="N75" s="53" t="s">
        <v>106</v>
      </c>
      <c r="O75" s="54"/>
    </row>
    <row r="76" spans="1:15" ht="25.5" x14ac:dyDescent="0.25">
      <c r="A76" s="49" t="s">
        <v>305</v>
      </c>
      <c r="B76" s="61" t="s">
        <v>306</v>
      </c>
      <c r="C76" s="61" t="s">
        <v>351</v>
      </c>
      <c r="D76" s="61"/>
      <c r="E76" s="57" t="s">
        <v>352</v>
      </c>
      <c r="F76" s="57" t="s">
        <v>76</v>
      </c>
      <c r="G76" s="57" t="s">
        <v>69</v>
      </c>
      <c r="H76" s="57" t="s">
        <v>70</v>
      </c>
      <c r="I76" s="57" t="s">
        <v>353</v>
      </c>
      <c r="J76" s="57" t="s">
        <v>354</v>
      </c>
      <c r="K76" s="57"/>
      <c r="L76" s="52" t="str">
        <f>HYPERLINK("https://zibs.nl/wiki/Bloeddruk-v3.1(2017NL)#HoudingCodelijst","HoudingCodelijst")</f>
        <v>HoudingCodelijst</v>
      </c>
      <c r="M76" s="57"/>
      <c r="N76" s="53" t="s">
        <v>106</v>
      </c>
      <c r="O76" s="54"/>
    </row>
    <row r="77" spans="1:15" ht="25.5" x14ac:dyDescent="0.25">
      <c r="A77" s="49" t="s">
        <v>355</v>
      </c>
      <c r="B77" s="49" t="s">
        <v>356</v>
      </c>
      <c r="C77" s="49" t="s">
        <v>355</v>
      </c>
      <c r="D77" s="49"/>
      <c r="E77" s="51" t="s">
        <v>357</v>
      </c>
      <c r="F77" s="51"/>
      <c r="G77" s="51"/>
      <c r="H77" s="51" t="s">
        <v>62</v>
      </c>
      <c r="I77" s="51" t="s">
        <v>358</v>
      </c>
      <c r="J77" s="51" t="s">
        <v>359</v>
      </c>
      <c r="K77" s="51"/>
      <c r="L77" s="52" t="str">
        <f>HYPERLINK("https://zibs.nl/wiki/BurgerlijkeStaat-v3.0(2017NL)#","")</f>
        <v/>
      </c>
      <c r="M77" s="51"/>
      <c r="N77" s="53" t="s">
        <v>106</v>
      </c>
      <c r="O77" s="54"/>
    </row>
    <row r="78" spans="1:15" ht="15" x14ac:dyDescent="0.25">
      <c r="A78" s="49" t="s">
        <v>355</v>
      </c>
      <c r="B78" s="61" t="s">
        <v>356</v>
      </c>
      <c r="C78" s="61" t="s">
        <v>360</v>
      </c>
      <c r="D78" s="61"/>
      <c r="E78" s="57" t="s">
        <v>361</v>
      </c>
      <c r="F78" s="57" t="s">
        <v>76</v>
      </c>
      <c r="G78" s="57" t="s">
        <v>69</v>
      </c>
      <c r="H78" s="57" t="s">
        <v>70</v>
      </c>
      <c r="I78" s="57" t="s">
        <v>362</v>
      </c>
      <c r="J78" s="57" t="s">
        <v>363</v>
      </c>
      <c r="K78" s="57"/>
      <c r="L78" s="52" t="str">
        <f>HYPERLINK("https://zibs.nl/wiki/BurgerlijkeStaat-v3.0(2017NL)#BurgerlijkeStaatCodelijst","BurgerlijkeStaatCodelijst")</f>
        <v>BurgerlijkeStaatCodelijst</v>
      </c>
      <c r="M78" s="57"/>
      <c r="N78" s="53" t="s">
        <v>106</v>
      </c>
      <c r="O78" s="54"/>
    </row>
    <row r="79" spans="1:15" ht="25.5" x14ac:dyDescent="0.25">
      <c r="A79" s="49" t="s">
        <v>364</v>
      </c>
      <c r="B79" s="49" t="s">
        <v>365</v>
      </c>
      <c r="C79" s="49" t="s">
        <v>364</v>
      </c>
      <c r="D79" s="49"/>
      <c r="E79" s="51" t="s">
        <v>366</v>
      </c>
      <c r="F79" s="51"/>
      <c r="G79" s="51"/>
      <c r="H79" s="51" t="s">
        <v>62</v>
      </c>
      <c r="I79" s="51" t="s">
        <v>367</v>
      </c>
      <c r="J79" s="51" t="s">
        <v>368</v>
      </c>
      <c r="K79" s="51"/>
      <c r="L79" s="52" t="str">
        <f>HYPERLINK("https://zibs.nl/wiki/Contactpersoon-v3.1(2017NL)#","")</f>
        <v/>
      </c>
      <c r="M79" s="51"/>
      <c r="N79" s="53" t="s">
        <v>106</v>
      </c>
      <c r="O79" s="54"/>
    </row>
    <row r="80" spans="1:15" ht="25.5" x14ac:dyDescent="0.25">
      <c r="A80" s="49" t="s">
        <v>364</v>
      </c>
      <c r="B80" s="61" t="s">
        <v>365</v>
      </c>
      <c r="C80" s="61" t="s">
        <v>369</v>
      </c>
      <c r="D80" s="61"/>
      <c r="E80" s="57" t="s">
        <v>370</v>
      </c>
      <c r="F80" s="57"/>
      <c r="G80" s="57" t="s">
        <v>69</v>
      </c>
      <c r="H80" s="57" t="s">
        <v>110</v>
      </c>
      <c r="I80" s="57" t="s">
        <v>371</v>
      </c>
      <c r="J80" s="57" t="s">
        <v>372</v>
      </c>
      <c r="K80" s="57"/>
      <c r="L80" s="62" t="s">
        <v>373</v>
      </c>
      <c r="M80" s="57"/>
      <c r="N80" s="53" t="s">
        <v>106</v>
      </c>
      <c r="O80" s="54"/>
    </row>
    <row r="81" spans="1:15" ht="25.5" x14ac:dyDescent="0.25">
      <c r="A81" s="49" t="s">
        <v>364</v>
      </c>
      <c r="B81" s="61" t="s">
        <v>365</v>
      </c>
      <c r="C81" s="61" t="s">
        <v>300</v>
      </c>
      <c r="D81" s="61"/>
      <c r="E81" s="57" t="s">
        <v>301</v>
      </c>
      <c r="F81" s="57"/>
      <c r="G81" s="57" t="s">
        <v>69</v>
      </c>
      <c r="H81" s="57" t="s">
        <v>110</v>
      </c>
      <c r="I81" s="57" t="s">
        <v>374</v>
      </c>
      <c r="J81" s="57" t="s">
        <v>375</v>
      </c>
      <c r="K81" s="57"/>
      <c r="L81" s="62" t="s">
        <v>376</v>
      </c>
      <c r="M81" s="57"/>
      <c r="N81" s="53" t="s">
        <v>106</v>
      </c>
      <c r="O81" s="54"/>
    </row>
    <row r="82" spans="1:15" ht="25.5" x14ac:dyDescent="0.25">
      <c r="A82" s="49" t="s">
        <v>364</v>
      </c>
      <c r="B82" s="61" t="s">
        <v>365</v>
      </c>
      <c r="C82" s="61" t="s">
        <v>295</v>
      </c>
      <c r="D82" s="61"/>
      <c r="E82" s="57" t="s">
        <v>296</v>
      </c>
      <c r="F82" s="57"/>
      <c r="G82" s="57" t="s">
        <v>69</v>
      </c>
      <c r="H82" s="57" t="s">
        <v>110</v>
      </c>
      <c r="I82" s="57" t="s">
        <v>377</v>
      </c>
      <c r="J82" s="57" t="s">
        <v>378</v>
      </c>
      <c r="K82" s="57"/>
      <c r="L82" s="62" t="s">
        <v>379</v>
      </c>
      <c r="M82" s="57"/>
      <c r="N82" s="53" t="s">
        <v>106</v>
      </c>
      <c r="O82" s="54"/>
    </row>
    <row r="83" spans="1:15" ht="15" x14ac:dyDescent="0.25">
      <c r="A83" s="49" t="s">
        <v>364</v>
      </c>
      <c r="B83" s="61" t="s">
        <v>365</v>
      </c>
      <c r="C83" s="61" t="s">
        <v>380</v>
      </c>
      <c r="D83" s="61"/>
      <c r="E83" s="57" t="s">
        <v>381</v>
      </c>
      <c r="F83" s="57" t="s">
        <v>76</v>
      </c>
      <c r="G83" s="57" t="s">
        <v>158</v>
      </c>
      <c r="H83" s="57" t="s">
        <v>70</v>
      </c>
      <c r="I83" s="57" t="s">
        <v>382</v>
      </c>
      <c r="J83" s="57" t="s">
        <v>383</v>
      </c>
      <c r="K83" s="57"/>
      <c r="L83" s="52" t="str">
        <f>HYPERLINK("https://zibs.nl/wiki/Contactpersoon-v3.1(2017NL)#RolCodelijst","RolCodelijst")</f>
        <v>RolCodelijst</v>
      </c>
      <c r="M83" s="57"/>
      <c r="N83" s="53" t="s">
        <v>106</v>
      </c>
      <c r="O83" s="54"/>
    </row>
    <row r="84" spans="1:15" ht="15" x14ac:dyDescent="0.25">
      <c r="A84" s="49" t="s">
        <v>364</v>
      </c>
      <c r="B84" s="61" t="s">
        <v>365</v>
      </c>
      <c r="C84" s="61" t="s">
        <v>384</v>
      </c>
      <c r="D84" s="61"/>
      <c r="E84" s="57" t="s">
        <v>385</v>
      </c>
      <c r="F84" s="57" t="s">
        <v>76</v>
      </c>
      <c r="G84" s="57" t="s">
        <v>158</v>
      </c>
      <c r="H84" s="57" t="s">
        <v>70</v>
      </c>
      <c r="I84" s="57" t="s">
        <v>386</v>
      </c>
      <c r="J84" s="57" t="s">
        <v>387</v>
      </c>
      <c r="K84" s="57"/>
      <c r="L84" s="52" t="str">
        <f>HYPERLINK("https://zibs.nl/wiki/Contactpersoon-v3.1(2017NL)#RelatieCodelijst","RelatieCodelijst")</f>
        <v>RelatieCodelijst</v>
      </c>
      <c r="M84" s="57"/>
      <c r="N84" s="53" t="s">
        <v>106</v>
      </c>
      <c r="O84" s="54"/>
    </row>
    <row r="85" spans="1:15" ht="15" x14ac:dyDescent="0.25">
      <c r="A85" s="49" t="s">
        <v>388</v>
      </c>
      <c r="B85" s="49" t="s">
        <v>389</v>
      </c>
      <c r="C85" s="49" t="s">
        <v>388</v>
      </c>
      <c r="D85" s="49"/>
      <c r="E85" s="51" t="s">
        <v>390</v>
      </c>
      <c r="F85" s="51"/>
      <c r="G85" s="51"/>
      <c r="H85" s="51" t="s">
        <v>62</v>
      </c>
      <c r="I85" s="51" t="s">
        <v>391</v>
      </c>
      <c r="J85" s="51" t="s">
        <v>392</v>
      </c>
      <c r="K85" s="51"/>
      <c r="L85" s="52" t="str">
        <f>HYPERLINK("https://zibs.nl/wiki/Contact-v3.1(2017NL)#","")</f>
        <v/>
      </c>
      <c r="M85" s="51"/>
      <c r="N85" s="53" t="s">
        <v>106</v>
      </c>
      <c r="O85" s="54"/>
    </row>
    <row r="86" spans="1:15" ht="15" x14ac:dyDescent="0.25">
      <c r="A86" s="49" t="s">
        <v>388</v>
      </c>
      <c r="B86" s="61" t="s">
        <v>389</v>
      </c>
      <c r="C86" s="61" t="s">
        <v>393</v>
      </c>
      <c r="D86" s="61"/>
      <c r="E86" s="57" t="s">
        <v>394</v>
      </c>
      <c r="F86" s="57" t="s">
        <v>76</v>
      </c>
      <c r="G86" s="57" t="s">
        <v>77</v>
      </c>
      <c r="H86" s="57" t="s">
        <v>70</v>
      </c>
      <c r="I86" s="57" t="s">
        <v>395</v>
      </c>
      <c r="J86" s="57" t="s">
        <v>396</v>
      </c>
      <c r="K86" s="57"/>
      <c r="L86" s="52" t="str">
        <f>HYPERLINK("https://zibs.nl/wiki/Contact-v3.1(2017NL)#ContactTypeCodelijst","ContactTypeCodelijst")</f>
        <v>ContactTypeCodelijst</v>
      </c>
      <c r="M86" s="57"/>
      <c r="N86" s="53" t="s">
        <v>106</v>
      </c>
      <c r="O86" s="54"/>
    </row>
    <row r="87" spans="1:15" ht="38.25" x14ac:dyDescent="0.25">
      <c r="A87" s="49" t="s">
        <v>388</v>
      </c>
      <c r="B87" s="61" t="s">
        <v>389</v>
      </c>
      <c r="C87" s="61" t="s">
        <v>397</v>
      </c>
      <c r="D87" s="61"/>
      <c r="E87" s="57" t="s">
        <v>398</v>
      </c>
      <c r="F87" s="57"/>
      <c r="G87" s="57" t="s">
        <v>158</v>
      </c>
      <c r="H87" s="57" t="s">
        <v>399</v>
      </c>
      <c r="I87" s="57" t="s">
        <v>400</v>
      </c>
      <c r="J87" s="57" t="s">
        <v>401</v>
      </c>
      <c r="K87" s="57"/>
      <c r="L87" s="62" t="s">
        <v>402</v>
      </c>
      <c r="M87" s="57"/>
      <c r="N87" s="53" t="s">
        <v>106</v>
      </c>
      <c r="O87" s="54"/>
    </row>
    <row r="88" spans="1:15" ht="38.25" x14ac:dyDescent="0.25">
      <c r="A88" s="49" t="s">
        <v>388</v>
      </c>
      <c r="B88" s="61" t="s">
        <v>389</v>
      </c>
      <c r="C88" s="61" t="s">
        <v>403</v>
      </c>
      <c r="D88" s="61"/>
      <c r="E88" s="57" t="s">
        <v>404</v>
      </c>
      <c r="F88" s="57"/>
      <c r="G88" s="57" t="s">
        <v>69</v>
      </c>
      <c r="H88" s="57" t="s">
        <v>399</v>
      </c>
      <c r="I88" s="57" t="s">
        <v>405</v>
      </c>
      <c r="J88" s="57" t="s">
        <v>406</v>
      </c>
      <c r="K88" s="57"/>
      <c r="L88" s="62" t="s">
        <v>407</v>
      </c>
      <c r="M88" s="57"/>
      <c r="N88" s="53" t="s">
        <v>106</v>
      </c>
      <c r="O88" s="54"/>
    </row>
    <row r="89" spans="1:15" ht="15" x14ac:dyDescent="0.25">
      <c r="A89" s="49" t="s">
        <v>388</v>
      </c>
      <c r="B89" s="61" t="s">
        <v>389</v>
      </c>
      <c r="C89" s="61" t="s">
        <v>118</v>
      </c>
      <c r="D89" s="61"/>
      <c r="E89" s="57" t="s">
        <v>119</v>
      </c>
      <c r="F89" s="57" t="s">
        <v>88</v>
      </c>
      <c r="G89" s="57" t="s">
        <v>77</v>
      </c>
      <c r="H89" s="57" t="s">
        <v>70</v>
      </c>
      <c r="I89" s="57" t="s">
        <v>408</v>
      </c>
      <c r="J89" s="57" t="s">
        <v>409</v>
      </c>
      <c r="K89" s="57"/>
      <c r="L89" s="52" t="str">
        <f>HYPERLINK("https://zibs.nl/wiki/Contact-v3.1(2017NL)#","")</f>
        <v/>
      </c>
      <c r="M89" s="57"/>
      <c r="N89" s="53" t="s">
        <v>106</v>
      </c>
      <c r="O89" s="54"/>
    </row>
    <row r="90" spans="1:15" ht="25.5" x14ac:dyDescent="0.25">
      <c r="A90" s="49" t="s">
        <v>388</v>
      </c>
      <c r="B90" s="61" t="s">
        <v>389</v>
      </c>
      <c r="C90" s="61" t="s">
        <v>275</v>
      </c>
      <c r="D90" s="61"/>
      <c r="E90" s="57" t="s">
        <v>276</v>
      </c>
      <c r="F90" s="57" t="s">
        <v>88</v>
      </c>
      <c r="G90" s="57" t="s">
        <v>69</v>
      </c>
      <c r="H90" s="57" t="s">
        <v>70</v>
      </c>
      <c r="I90" s="57" t="s">
        <v>410</v>
      </c>
      <c r="J90" s="57" t="s">
        <v>411</v>
      </c>
      <c r="K90" s="57"/>
      <c r="L90" s="52" t="str">
        <f>HYPERLINK("https://zibs.nl/wiki/Contact-v3.1(2017NL)#","")</f>
        <v/>
      </c>
      <c r="M90" s="57"/>
      <c r="N90" s="53" t="s">
        <v>106</v>
      </c>
      <c r="O90" s="54"/>
    </row>
    <row r="91" spans="1:15" ht="25.5" x14ac:dyDescent="0.25">
      <c r="A91" s="49" t="s">
        <v>388</v>
      </c>
      <c r="B91" s="66" t="s">
        <v>389</v>
      </c>
      <c r="C91" s="66" t="s">
        <v>412</v>
      </c>
      <c r="D91" s="66"/>
      <c r="E91" s="60" t="s">
        <v>413</v>
      </c>
      <c r="F91" s="60"/>
      <c r="G91" s="60" t="s">
        <v>77</v>
      </c>
      <c r="H91" s="60" t="s">
        <v>83</v>
      </c>
      <c r="I91" s="60" t="s">
        <v>414</v>
      </c>
      <c r="J91" s="60" t="s">
        <v>415</v>
      </c>
      <c r="K91" s="60"/>
      <c r="L91" s="52" t="str">
        <f>HYPERLINK("https://zibs.nl/wiki/Contact-v3.1(2017NL)#","")</f>
        <v/>
      </c>
      <c r="M91" s="60"/>
      <c r="N91" s="53" t="s">
        <v>106</v>
      </c>
      <c r="O91" s="54"/>
    </row>
    <row r="92" spans="1:15" ht="25.5" x14ac:dyDescent="0.25">
      <c r="A92" s="49" t="s">
        <v>388</v>
      </c>
      <c r="B92" s="61" t="s">
        <v>389</v>
      </c>
      <c r="C92" s="61" t="s">
        <v>21</v>
      </c>
      <c r="D92" s="61"/>
      <c r="E92" s="57" t="s">
        <v>416</v>
      </c>
      <c r="F92" s="57"/>
      <c r="G92" s="57"/>
      <c r="H92" s="57" t="s">
        <v>110</v>
      </c>
      <c r="I92" s="57" t="s">
        <v>417</v>
      </c>
      <c r="J92" s="57" t="s">
        <v>418</v>
      </c>
      <c r="K92" s="57"/>
      <c r="L92" s="62" t="s">
        <v>113</v>
      </c>
      <c r="M92" s="57"/>
      <c r="N92" s="53" t="s">
        <v>106</v>
      </c>
      <c r="O92" s="54"/>
    </row>
    <row r="93" spans="1:15" ht="25.5" x14ac:dyDescent="0.25">
      <c r="A93" s="49" t="s">
        <v>388</v>
      </c>
      <c r="B93" s="61" t="s">
        <v>389</v>
      </c>
      <c r="C93" s="61" t="s">
        <v>19</v>
      </c>
      <c r="D93" s="61"/>
      <c r="E93" s="57" t="s">
        <v>419</v>
      </c>
      <c r="F93" s="57"/>
      <c r="G93" s="57"/>
      <c r="H93" s="57" t="s">
        <v>110</v>
      </c>
      <c r="I93" s="57" t="s">
        <v>420</v>
      </c>
      <c r="J93" s="57" t="s">
        <v>421</v>
      </c>
      <c r="K93" s="57"/>
      <c r="L93" s="62" t="s">
        <v>422</v>
      </c>
      <c r="M93" s="57"/>
      <c r="N93" s="53" t="s">
        <v>106</v>
      </c>
      <c r="O93" s="54"/>
    </row>
    <row r="94" spans="1:15" ht="25.5" x14ac:dyDescent="0.25">
      <c r="A94" s="49" t="s">
        <v>388</v>
      </c>
      <c r="B94" s="61" t="s">
        <v>389</v>
      </c>
      <c r="C94" s="61" t="s">
        <v>423</v>
      </c>
      <c r="D94" s="61"/>
      <c r="E94" s="57" t="s">
        <v>424</v>
      </c>
      <c r="F94" s="57" t="s">
        <v>68</v>
      </c>
      <c r="G94" s="57"/>
      <c r="H94" s="57" t="s">
        <v>70</v>
      </c>
      <c r="I94" s="57" t="s">
        <v>425</v>
      </c>
      <c r="J94" s="57" t="s">
        <v>426</v>
      </c>
      <c r="K94" s="57"/>
      <c r="L94" s="52" t="str">
        <f>HYPERLINK("https://zibs.nl/wiki/Contact-v3.1(2017NL)#","")</f>
        <v/>
      </c>
      <c r="M94" s="57"/>
      <c r="N94" s="53" t="s">
        <v>106</v>
      </c>
      <c r="O94" s="54"/>
    </row>
    <row r="95" spans="1:15" ht="25.5" x14ac:dyDescent="0.25">
      <c r="A95" s="49" t="s">
        <v>388</v>
      </c>
      <c r="B95" s="61" t="s">
        <v>389</v>
      </c>
      <c r="C95" s="61" t="s">
        <v>427</v>
      </c>
      <c r="D95" s="61"/>
      <c r="E95" s="57" t="s">
        <v>428</v>
      </c>
      <c r="F95" s="57" t="s">
        <v>76</v>
      </c>
      <c r="G95" s="57" t="s">
        <v>69</v>
      </c>
      <c r="H95" s="57" t="s">
        <v>70</v>
      </c>
      <c r="I95" s="57" t="s">
        <v>429</v>
      </c>
      <c r="J95" s="57" t="s">
        <v>430</v>
      </c>
      <c r="K95" s="57"/>
      <c r="L95" s="52" t="str">
        <f>HYPERLINK("https://zibs.nl/wiki/Contact-v3.1(2017NL)#HerkomstCodelijst","HerkomstCodelijst")</f>
        <v>HerkomstCodelijst</v>
      </c>
      <c r="M95" s="57"/>
      <c r="N95" s="53" t="s">
        <v>106</v>
      </c>
      <c r="O95" s="54"/>
    </row>
    <row r="96" spans="1:15" ht="25.5" x14ac:dyDescent="0.25">
      <c r="A96" s="49" t="s">
        <v>388</v>
      </c>
      <c r="B96" s="61" t="s">
        <v>389</v>
      </c>
      <c r="C96" s="61" t="s">
        <v>431</v>
      </c>
      <c r="D96" s="61"/>
      <c r="E96" s="57" t="s">
        <v>432</v>
      </c>
      <c r="F96" s="57" t="s">
        <v>76</v>
      </c>
      <c r="G96" s="57" t="s">
        <v>69</v>
      </c>
      <c r="H96" s="57" t="s">
        <v>70</v>
      </c>
      <c r="I96" s="57" t="s">
        <v>433</v>
      </c>
      <c r="J96" s="57" t="s">
        <v>434</v>
      </c>
      <c r="K96" s="57"/>
      <c r="L96" s="52" t="str">
        <f>HYPERLINK("https://zibs.nl/wiki/Contact-v3.1(2017NL)#BestemmingCodelijst","BestemmingCodelijst")</f>
        <v>BestemmingCodelijst</v>
      </c>
      <c r="M96" s="57"/>
      <c r="N96" s="53" t="s">
        <v>106</v>
      </c>
      <c r="O96" s="54"/>
    </row>
    <row r="97" spans="1:15" ht="15" x14ac:dyDescent="0.25">
      <c r="A97" s="49" t="s">
        <v>435</v>
      </c>
      <c r="B97" s="49" t="s">
        <v>436</v>
      </c>
      <c r="C97" s="49" t="s">
        <v>435</v>
      </c>
      <c r="D97" s="49"/>
      <c r="E97" s="51" t="s">
        <v>437</v>
      </c>
      <c r="F97" s="51"/>
      <c r="G97" s="51"/>
      <c r="H97" s="51" t="s">
        <v>62</v>
      </c>
      <c r="I97" s="51" t="s">
        <v>438</v>
      </c>
      <c r="J97" s="51" t="s">
        <v>439</v>
      </c>
      <c r="K97" s="51"/>
      <c r="L97" s="52" t="str">
        <f t="shared" ref="L97:L102" si="1">HYPERLINK("https://zibs.nl/wiki/DrugsGebruik-v3.2(2017NL)#","")</f>
        <v/>
      </c>
      <c r="M97" s="51"/>
      <c r="N97" s="53" t="s">
        <v>106</v>
      </c>
      <c r="O97" s="54"/>
    </row>
    <row r="98" spans="1:15" ht="15" x14ac:dyDescent="0.25">
      <c r="A98" s="49" t="s">
        <v>435</v>
      </c>
      <c r="B98" s="66" t="s">
        <v>436</v>
      </c>
      <c r="C98" s="66" t="s">
        <v>81</v>
      </c>
      <c r="D98" s="66"/>
      <c r="E98" s="60" t="s">
        <v>82</v>
      </c>
      <c r="F98" s="60"/>
      <c r="G98" s="60" t="s">
        <v>69</v>
      </c>
      <c r="H98" s="60" t="s">
        <v>83</v>
      </c>
      <c r="I98" s="60" t="s">
        <v>440</v>
      </c>
      <c r="J98" s="60" t="s">
        <v>441</v>
      </c>
      <c r="K98" s="60"/>
      <c r="L98" s="52" t="str">
        <f t="shared" si="1"/>
        <v/>
      </c>
      <c r="M98" s="60"/>
      <c r="N98" s="53" t="s">
        <v>106</v>
      </c>
      <c r="O98" s="54"/>
    </row>
    <row r="99" spans="1:15" ht="15" x14ac:dyDescent="0.25">
      <c r="A99" s="49" t="s">
        <v>435</v>
      </c>
      <c r="B99" s="61" t="s">
        <v>436</v>
      </c>
      <c r="C99" s="61" t="s">
        <v>86</v>
      </c>
      <c r="D99" s="61"/>
      <c r="E99" s="57" t="s">
        <v>87</v>
      </c>
      <c r="F99" s="57" t="s">
        <v>88</v>
      </c>
      <c r="G99" s="57" t="s">
        <v>69</v>
      </c>
      <c r="H99" s="57" t="s">
        <v>70</v>
      </c>
      <c r="I99" s="57" t="s">
        <v>442</v>
      </c>
      <c r="J99" s="57" t="s">
        <v>90</v>
      </c>
      <c r="K99" s="57"/>
      <c r="L99" s="52" t="str">
        <f t="shared" si="1"/>
        <v/>
      </c>
      <c r="M99" s="57"/>
      <c r="N99" s="53" t="s">
        <v>106</v>
      </c>
      <c r="O99" s="54"/>
    </row>
    <row r="100" spans="1:15" ht="15" x14ac:dyDescent="0.25">
      <c r="A100" s="49" t="s">
        <v>435</v>
      </c>
      <c r="B100" s="61" t="s">
        <v>436</v>
      </c>
      <c r="C100" s="61" t="s">
        <v>91</v>
      </c>
      <c r="D100" s="61"/>
      <c r="E100" s="57" t="s">
        <v>92</v>
      </c>
      <c r="F100" s="57" t="s">
        <v>88</v>
      </c>
      <c r="G100" s="57" t="s">
        <v>69</v>
      </c>
      <c r="H100" s="57" t="s">
        <v>70</v>
      </c>
      <c r="I100" s="57" t="s">
        <v>443</v>
      </c>
      <c r="J100" s="57" t="s">
        <v>444</v>
      </c>
      <c r="K100" s="57"/>
      <c r="L100" s="52" t="str">
        <f t="shared" si="1"/>
        <v/>
      </c>
      <c r="M100" s="57"/>
      <c r="N100" s="53" t="s">
        <v>106</v>
      </c>
      <c r="O100" s="54"/>
    </row>
    <row r="101" spans="1:15" ht="15" x14ac:dyDescent="0.25">
      <c r="A101" s="49" t="s">
        <v>435</v>
      </c>
      <c r="B101" s="61" t="s">
        <v>436</v>
      </c>
      <c r="C101" s="61" t="s">
        <v>95</v>
      </c>
      <c r="D101" s="61"/>
      <c r="E101" s="57" t="s">
        <v>96</v>
      </c>
      <c r="F101" s="57" t="s">
        <v>68</v>
      </c>
      <c r="G101" s="57" t="s">
        <v>69</v>
      </c>
      <c r="H101" s="57" t="s">
        <v>70</v>
      </c>
      <c r="I101" s="57" t="s">
        <v>445</v>
      </c>
      <c r="J101" s="57" t="s">
        <v>446</v>
      </c>
      <c r="K101" s="57"/>
      <c r="L101" s="52" t="str">
        <f t="shared" si="1"/>
        <v/>
      </c>
      <c r="M101" s="57"/>
      <c r="N101" s="53" t="s">
        <v>106</v>
      </c>
      <c r="O101" s="54"/>
    </row>
    <row r="102" spans="1:15" ht="25.5" x14ac:dyDescent="0.25">
      <c r="A102" s="49" t="s">
        <v>435</v>
      </c>
      <c r="B102" s="61" t="s">
        <v>436</v>
      </c>
      <c r="C102" s="61" t="s">
        <v>66</v>
      </c>
      <c r="D102" s="61"/>
      <c r="E102" s="57" t="s">
        <v>67</v>
      </c>
      <c r="F102" s="57" t="s">
        <v>68</v>
      </c>
      <c r="G102" s="57" t="s">
        <v>69</v>
      </c>
      <c r="H102" s="57" t="s">
        <v>70</v>
      </c>
      <c r="I102" s="57" t="s">
        <v>447</v>
      </c>
      <c r="J102" s="57" t="s">
        <v>72</v>
      </c>
      <c r="K102" s="57" t="s">
        <v>73</v>
      </c>
      <c r="L102" s="52" t="str">
        <f t="shared" si="1"/>
        <v/>
      </c>
      <c r="M102" s="57"/>
      <c r="N102" s="53" t="s">
        <v>106</v>
      </c>
      <c r="O102" s="54"/>
    </row>
    <row r="103" spans="1:15" ht="25.5" x14ac:dyDescent="0.25">
      <c r="A103" s="49" t="s">
        <v>435</v>
      </c>
      <c r="B103" s="61" t="s">
        <v>436</v>
      </c>
      <c r="C103" s="61" t="s">
        <v>448</v>
      </c>
      <c r="D103" s="61"/>
      <c r="E103" s="57" t="s">
        <v>449</v>
      </c>
      <c r="F103" s="57" t="s">
        <v>76</v>
      </c>
      <c r="G103" s="57" t="s">
        <v>69</v>
      </c>
      <c r="H103" s="57" t="s">
        <v>70</v>
      </c>
      <c r="I103" s="57" t="s">
        <v>450</v>
      </c>
      <c r="J103" s="57" t="s">
        <v>451</v>
      </c>
      <c r="K103" s="57"/>
      <c r="L103" s="52" t="str">
        <f>HYPERLINK("https://zibs.nl/wiki/DrugsGebruik-v3.2(2017NL)#DrugsOfGeneesmiddelSoortCodelijst","DrugsOfGeneesmiddelSoortCodelijst")</f>
        <v>DrugsOfGeneesmiddelSoortCodelijst</v>
      </c>
      <c r="M103" s="57"/>
      <c r="N103" s="53" t="s">
        <v>106</v>
      </c>
      <c r="O103" s="54"/>
    </row>
    <row r="104" spans="1:15" ht="51" x14ac:dyDescent="0.25">
      <c r="A104" s="49" t="s">
        <v>435</v>
      </c>
      <c r="B104" s="61" t="s">
        <v>436</v>
      </c>
      <c r="C104" s="61" t="s">
        <v>452</v>
      </c>
      <c r="D104" s="61"/>
      <c r="E104" s="57" t="s">
        <v>453</v>
      </c>
      <c r="F104" s="57" t="s">
        <v>76</v>
      </c>
      <c r="G104" s="57" t="s">
        <v>77</v>
      </c>
      <c r="H104" s="57" t="s">
        <v>70</v>
      </c>
      <c r="I104" s="57" t="s">
        <v>454</v>
      </c>
      <c r="J104" s="57" t="s">
        <v>455</v>
      </c>
      <c r="K104" s="57" t="s">
        <v>456</v>
      </c>
      <c r="L104" s="52" t="str">
        <f>HYPERLINK("https://zibs.nl/wiki/DrugsGebruik-v3.2(2017NL)#DrugsGebruikStatusCodelijst","DrugsGebruikStatusCodelijst")</f>
        <v>DrugsGebruikStatusCodelijst</v>
      </c>
      <c r="M104" s="57"/>
      <c r="N104" s="53" t="s">
        <v>106</v>
      </c>
      <c r="O104" s="54"/>
    </row>
    <row r="105" spans="1:15" ht="25.5" x14ac:dyDescent="0.25">
      <c r="A105" s="49" t="s">
        <v>435</v>
      </c>
      <c r="B105" s="61" t="s">
        <v>436</v>
      </c>
      <c r="C105" s="61" t="s">
        <v>457</v>
      </c>
      <c r="D105" s="61"/>
      <c r="E105" s="57" t="s">
        <v>458</v>
      </c>
      <c r="F105" s="57" t="s">
        <v>76</v>
      </c>
      <c r="G105" s="57" t="s">
        <v>158</v>
      </c>
      <c r="H105" s="57" t="s">
        <v>70</v>
      </c>
      <c r="I105" s="57" t="s">
        <v>459</v>
      </c>
      <c r="J105" s="57" t="s">
        <v>460</v>
      </c>
      <c r="K105" s="57" t="s">
        <v>461</v>
      </c>
      <c r="L105" s="52" t="str">
        <f>HYPERLINK("https://zibs.nl/wiki/DrugsGebruik-v3.2(2017NL)#ToedieningswegCodelijst","ToedieningswegCodelijst")</f>
        <v>ToedieningswegCodelijst</v>
      </c>
      <c r="M105" s="57"/>
      <c r="N105" s="53" t="s">
        <v>106</v>
      </c>
      <c r="O105" s="54"/>
    </row>
    <row r="106" spans="1:15" ht="38.25" x14ac:dyDescent="0.25">
      <c r="A106" s="49" t="s">
        <v>462</v>
      </c>
      <c r="B106" s="49" t="s">
        <v>463</v>
      </c>
      <c r="C106" s="49" t="s">
        <v>462</v>
      </c>
      <c r="D106" s="49"/>
      <c r="E106" s="51" t="s">
        <v>464</v>
      </c>
      <c r="F106" s="51"/>
      <c r="G106" s="51"/>
      <c r="H106" s="51" t="s">
        <v>62</v>
      </c>
      <c r="I106" s="51" t="s">
        <v>465</v>
      </c>
      <c r="J106" s="51" t="s">
        <v>466</v>
      </c>
      <c r="K106" s="51"/>
      <c r="L106" s="52" t="str">
        <f>HYPERLINK("https://zibs.nl/wiki/FunctioneleOfMentaleStatus-v3.1(2017NL)#","")</f>
        <v/>
      </c>
      <c r="M106" s="51"/>
      <c r="N106" s="53" t="s">
        <v>106</v>
      </c>
      <c r="O106" s="54"/>
    </row>
    <row r="107" spans="1:15" ht="76.5" x14ac:dyDescent="0.25">
      <c r="A107" s="49" t="s">
        <v>462</v>
      </c>
      <c r="B107" s="61" t="s">
        <v>463</v>
      </c>
      <c r="C107" s="61" t="s">
        <v>467</v>
      </c>
      <c r="D107" s="61"/>
      <c r="E107" s="57" t="s">
        <v>468</v>
      </c>
      <c r="F107" s="57" t="s">
        <v>76</v>
      </c>
      <c r="G107" s="57" t="s">
        <v>77</v>
      </c>
      <c r="H107" s="57" t="s">
        <v>70</v>
      </c>
      <c r="I107" s="57" t="s">
        <v>469</v>
      </c>
      <c r="J107" s="57" t="s">
        <v>470</v>
      </c>
      <c r="K107" s="57"/>
      <c r="L107" s="52" t="str">
        <f>HYPERLINK("https://zibs.nl/wiki/FunctioneleOfMentaleStatus-v3.1(2017NL)#StatusNaamICFCodelijst","StatusNaamICFCodelijst")</f>
        <v>StatusNaamICFCodelijst</v>
      </c>
      <c r="M107" s="57"/>
      <c r="N107" s="53" t="s">
        <v>106</v>
      </c>
      <c r="O107" s="54"/>
    </row>
    <row r="108" spans="1:15" ht="15" x14ac:dyDescent="0.25">
      <c r="A108" s="49" t="s">
        <v>462</v>
      </c>
      <c r="B108" s="67" t="s">
        <v>463</v>
      </c>
      <c r="C108" s="67"/>
      <c r="D108" s="67"/>
      <c r="E108" s="57"/>
      <c r="F108" s="57"/>
      <c r="G108" s="57"/>
      <c r="H108" s="57"/>
      <c r="I108" s="57"/>
      <c r="J108" s="57"/>
      <c r="K108" s="57"/>
      <c r="L108" s="52" t="str">
        <f>HYPERLINK("https://zibs.nl/wiki/FunctioneleOfMentaleStatus-v3.1(2017NL)#StatusNaamNOCCodelijst","StatusNaamNOCCodelijst")</f>
        <v>StatusNaamNOCCodelijst</v>
      </c>
      <c r="M108" s="57"/>
      <c r="N108" s="53" t="s">
        <v>106</v>
      </c>
      <c r="O108" s="54"/>
    </row>
    <row r="109" spans="1:15" ht="15" x14ac:dyDescent="0.25">
      <c r="A109" s="68" t="s">
        <v>462</v>
      </c>
      <c r="B109" s="68" t="s">
        <v>471</v>
      </c>
      <c r="C109" s="68"/>
      <c r="D109" s="68"/>
      <c r="E109" s="57"/>
      <c r="F109" s="57"/>
      <c r="G109" s="57"/>
      <c r="H109" s="57"/>
      <c r="I109" s="57"/>
      <c r="J109" s="57"/>
      <c r="K109" s="57"/>
      <c r="L109" s="52" t="str">
        <f>HYPERLINK("https://zibs.nl/wiki/nl.zorg.FunctioneleOfMentaleStatus-v3.1(2017NL)#StatusNaamOMAHACodelijst","StatusNaamOMAHACodelijst")</f>
        <v>StatusNaamOMAHACodelijst</v>
      </c>
      <c r="M109" s="57"/>
      <c r="N109" s="53"/>
      <c r="O109" s="54"/>
    </row>
    <row r="110" spans="1:15" ht="15" x14ac:dyDescent="0.25">
      <c r="A110" s="69" t="s">
        <v>462</v>
      </c>
      <c r="B110" s="69" t="s">
        <v>471</v>
      </c>
      <c r="C110" s="69"/>
      <c r="D110" s="69"/>
      <c r="E110" s="57"/>
      <c r="F110" s="57"/>
      <c r="G110" s="57"/>
      <c r="H110" s="57"/>
      <c r="I110" s="57"/>
      <c r="J110" s="57"/>
      <c r="K110" s="57"/>
      <c r="L110" s="52" t="str">
        <f>HYPERLINK("https://zibs.nl/wiki/nl.zorg.FunctioneleOfMentaleStatus-v3.1(2017NL)#StatusNaamSnomedCodelijst","StatusNaamSnomedCodelijst")</f>
        <v>StatusNaamSnomedCodelijst</v>
      </c>
      <c r="M110" s="57"/>
      <c r="N110" s="53"/>
      <c r="O110" s="54"/>
    </row>
    <row r="111" spans="1:15" ht="63.75" x14ac:dyDescent="0.25">
      <c r="A111" s="49" t="s">
        <v>462</v>
      </c>
      <c r="B111" s="61" t="s">
        <v>463</v>
      </c>
      <c r="C111" s="61" t="s">
        <v>472</v>
      </c>
      <c r="D111" s="61"/>
      <c r="E111" s="57" t="s">
        <v>473</v>
      </c>
      <c r="F111" s="57" t="s">
        <v>474</v>
      </c>
      <c r="G111" s="57" t="s">
        <v>69</v>
      </c>
      <c r="H111" s="57" t="s">
        <v>70</v>
      </c>
      <c r="I111" s="57" t="s">
        <v>475</v>
      </c>
      <c r="J111" s="57" t="s">
        <v>476</v>
      </c>
      <c r="K111" s="57"/>
      <c r="L111" s="52" t="str">
        <f>HYPERLINK("https://zibs.nl/wiki/FunctioneleOfMentaleStatus-v3.1(2017NL)#StatusWaardeICFCodelijst","StatusWaardeICFCodelijst")</f>
        <v>StatusWaardeICFCodelijst</v>
      </c>
      <c r="M111" s="57"/>
      <c r="N111" s="53" t="s">
        <v>106</v>
      </c>
      <c r="O111" s="54"/>
    </row>
    <row r="112" spans="1:15" ht="15" x14ac:dyDescent="0.25">
      <c r="A112" s="49" t="s">
        <v>462</v>
      </c>
      <c r="B112" s="67" t="s">
        <v>463</v>
      </c>
      <c r="C112" s="67"/>
      <c r="D112" s="67"/>
      <c r="E112" s="57"/>
      <c r="F112" s="57"/>
      <c r="G112" s="57"/>
      <c r="H112" s="57"/>
      <c r="I112" s="57"/>
      <c r="J112" s="57"/>
      <c r="K112" s="57"/>
      <c r="L112" s="52" t="str">
        <f>HYPERLINK("https://zibs.nl/wiki/FunctioneleOfMentaleStatus-v3.1(2017NL)#StatusWaardeNOCCodelijst","StatusWaardeNOCCodelijst")</f>
        <v>StatusWaardeNOCCodelijst</v>
      </c>
      <c r="M112" s="57"/>
      <c r="N112" s="53" t="s">
        <v>106</v>
      </c>
      <c r="O112" s="54"/>
    </row>
    <row r="113" spans="1:15" ht="15" x14ac:dyDescent="0.25">
      <c r="A113" s="68" t="s">
        <v>462</v>
      </c>
      <c r="B113" s="68" t="s">
        <v>471</v>
      </c>
      <c r="C113" s="68"/>
      <c r="D113" s="68"/>
      <c r="E113" s="57"/>
      <c r="F113" s="57"/>
      <c r="G113" s="57"/>
      <c r="H113" s="57"/>
      <c r="I113" s="57"/>
      <c r="J113" s="57"/>
      <c r="K113" s="57"/>
      <c r="L113" s="52" t="str">
        <f>HYPERLINK("https://zibs.nl/wiki/nl.zorg.FunctioneleOfMentaleStatus-v3.1(2017NL)#StatusWaardeOMAHACodelijst","StatusWaardeOMAHACodelijst")</f>
        <v>StatusWaardeOMAHACodelijst</v>
      </c>
      <c r="M113" s="57"/>
      <c r="N113" s="53"/>
      <c r="O113" s="54"/>
    </row>
    <row r="114" spans="1:15" ht="15" x14ac:dyDescent="0.25">
      <c r="A114" s="69" t="s">
        <v>462</v>
      </c>
      <c r="B114" s="69" t="s">
        <v>471</v>
      </c>
      <c r="C114" s="69"/>
      <c r="D114" s="69"/>
      <c r="E114" s="57"/>
      <c r="F114" s="57"/>
      <c r="G114" s="57"/>
      <c r="H114" s="57"/>
      <c r="I114" s="57"/>
      <c r="J114" s="57"/>
      <c r="K114" s="57"/>
      <c r="L114" s="52" t="str">
        <f>HYPERLINK("https://zibs.nl/wiki/nl.zorg.FunctioneleOfMentaleStatus-v3.1(2017NL)#StatusWaardeSnomedCodelijst","StatusWaardeSnomedCodelijst")</f>
        <v>StatusWaardeSnomedCodelijst</v>
      </c>
      <c r="M114" s="57"/>
      <c r="N114" s="53"/>
      <c r="O114" s="54"/>
    </row>
    <row r="115" spans="1:15" ht="15" x14ac:dyDescent="0.25">
      <c r="A115" s="49" t="s">
        <v>462</v>
      </c>
      <c r="B115" s="61" t="s">
        <v>463</v>
      </c>
      <c r="C115" s="61" t="s">
        <v>477</v>
      </c>
      <c r="D115" s="61"/>
      <c r="E115" s="57" t="s">
        <v>478</v>
      </c>
      <c r="F115" s="57" t="s">
        <v>88</v>
      </c>
      <c r="G115" s="57" t="s">
        <v>69</v>
      </c>
      <c r="H115" s="57" t="s">
        <v>70</v>
      </c>
      <c r="I115" s="57" t="s">
        <v>479</v>
      </c>
      <c r="J115" s="57" t="s">
        <v>480</v>
      </c>
      <c r="K115" s="57"/>
      <c r="L115" s="52" t="str">
        <f>HYPERLINK("https://zibs.nl/wiki/FunctioneleOfMentaleStatus-v3.1(2017NL)#","")</f>
        <v/>
      </c>
      <c r="M115" s="57"/>
      <c r="N115" s="53" t="s">
        <v>106</v>
      </c>
      <c r="O115" s="54"/>
    </row>
    <row r="116" spans="1:15" ht="25.5" x14ac:dyDescent="0.25">
      <c r="A116" s="49" t="s">
        <v>462</v>
      </c>
      <c r="B116" s="61" t="s">
        <v>463</v>
      </c>
      <c r="C116" s="61" t="s">
        <v>66</v>
      </c>
      <c r="D116" s="61"/>
      <c r="E116" s="57" t="s">
        <v>67</v>
      </c>
      <c r="F116" s="57" t="s">
        <v>68</v>
      </c>
      <c r="G116" s="57" t="s">
        <v>69</v>
      </c>
      <c r="H116" s="57" t="s">
        <v>70</v>
      </c>
      <c r="I116" s="57" t="s">
        <v>481</v>
      </c>
      <c r="J116" s="57" t="s">
        <v>482</v>
      </c>
      <c r="K116" s="57" t="s">
        <v>483</v>
      </c>
      <c r="L116" s="52" t="str">
        <f>HYPERLINK("https://zibs.nl/wiki/FunctioneleOfMentaleStatus-v3.1(2017NL)#","")</f>
        <v/>
      </c>
      <c r="M116" s="57"/>
      <c r="N116" s="53" t="s">
        <v>106</v>
      </c>
      <c r="O116" s="54"/>
    </row>
    <row r="117" spans="1:15" ht="38.25" x14ac:dyDescent="0.25">
      <c r="A117" s="49" t="s">
        <v>462</v>
      </c>
      <c r="B117" s="61" t="s">
        <v>463</v>
      </c>
      <c r="C117" s="61" t="s">
        <v>484</v>
      </c>
      <c r="D117" s="61"/>
      <c r="E117" s="57" t="s">
        <v>485</v>
      </c>
      <c r="F117" s="57"/>
      <c r="G117" s="57" t="s">
        <v>158</v>
      </c>
      <c r="H117" s="57" t="s">
        <v>110</v>
      </c>
      <c r="I117" s="57" t="s">
        <v>486</v>
      </c>
      <c r="J117" s="57" t="s">
        <v>487</v>
      </c>
      <c r="K117" s="57"/>
      <c r="L117" s="62" t="s">
        <v>488</v>
      </c>
      <c r="M117" s="57"/>
      <c r="N117" s="53" t="s">
        <v>106</v>
      </c>
      <c r="O117" s="54"/>
    </row>
    <row r="118" spans="1:15" ht="25.5" x14ac:dyDescent="0.25">
      <c r="A118" s="49" t="s">
        <v>489</v>
      </c>
      <c r="B118" s="49" t="s">
        <v>490</v>
      </c>
      <c r="C118" s="49" t="s">
        <v>489</v>
      </c>
      <c r="D118" s="49"/>
      <c r="E118" s="51" t="s">
        <v>491</v>
      </c>
      <c r="F118" s="51"/>
      <c r="G118" s="51"/>
      <c r="H118" s="51" t="s">
        <v>62</v>
      </c>
      <c r="I118" s="51" t="s">
        <v>492</v>
      </c>
      <c r="J118" s="51" t="s">
        <v>493</v>
      </c>
      <c r="K118" s="51"/>
      <c r="L118" s="52" t="str">
        <f>HYPERLINK("https://zibs.nl/wiki/LaboratoriumUitslag-v4.1(2017NL)#","")</f>
        <v/>
      </c>
      <c r="M118" s="51"/>
      <c r="N118" s="53" t="s">
        <v>106</v>
      </c>
      <c r="O118" s="54"/>
    </row>
    <row r="119" spans="1:15" ht="25.5" x14ac:dyDescent="0.25">
      <c r="A119" s="49" t="s">
        <v>489</v>
      </c>
      <c r="B119" s="66" t="s">
        <v>490</v>
      </c>
      <c r="C119" s="66" t="s">
        <v>494</v>
      </c>
      <c r="D119" s="66"/>
      <c r="E119" s="60" t="s">
        <v>495</v>
      </c>
      <c r="F119" s="60"/>
      <c r="G119" s="60" t="s">
        <v>69</v>
      </c>
      <c r="H119" s="60" t="s">
        <v>83</v>
      </c>
      <c r="I119" s="60" t="s">
        <v>496</v>
      </c>
      <c r="J119" s="60" t="s">
        <v>497</v>
      </c>
      <c r="K119" s="60" t="s">
        <v>498</v>
      </c>
      <c r="L119" s="52" t="str">
        <f>HYPERLINK("https://zibs.nl/wiki/LaboratoriumUitslag-v4.1(2017NL)#","")</f>
        <v/>
      </c>
      <c r="M119" s="60"/>
      <c r="N119" s="53" t="s">
        <v>106</v>
      </c>
      <c r="O119" s="54"/>
    </row>
    <row r="120" spans="1:15" ht="38.25" x14ac:dyDescent="0.25">
      <c r="A120" s="49" t="s">
        <v>489</v>
      </c>
      <c r="B120" s="61" t="s">
        <v>490</v>
      </c>
      <c r="C120" s="61" t="s">
        <v>499</v>
      </c>
      <c r="D120" s="61"/>
      <c r="E120" s="57" t="s">
        <v>500</v>
      </c>
      <c r="F120" s="57" t="s">
        <v>285</v>
      </c>
      <c r="G120" s="57" t="s">
        <v>158</v>
      </c>
      <c r="H120" s="57" t="s">
        <v>70</v>
      </c>
      <c r="I120" s="57" t="s">
        <v>501</v>
      </c>
      <c r="J120" s="57" t="s">
        <v>502</v>
      </c>
      <c r="K120" s="57"/>
      <c r="L120" s="52" t="str">
        <f>HYPERLINK("https://zibs.nl/wiki/LaboratoriumUitslag-v4.1(2017NL)#","")</f>
        <v/>
      </c>
      <c r="M120" s="57"/>
      <c r="N120" s="53" t="s">
        <v>106</v>
      </c>
      <c r="O120" s="54"/>
    </row>
    <row r="121" spans="1:15" ht="38.25" x14ac:dyDescent="0.25">
      <c r="A121" s="49" t="s">
        <v>489</v>
      </c>
      <c r="B121" s="61" t="s">
        <v>490</v>
      </c>
      <c r="C121" s="61" t="s">
        <v>503</v>
      </c>
      <c r="D121" s="61"/>
      <c r="E121" s="57" t="s">
        <v>504</v>
      </c>
      <c r="F121" s="57" t="s">
        <v>505</v>
      </c>
      <c r="G121" s="57" t="s">
        <v>69</v>
      </c>
      <c r="H121" s="57" t="s">
        <v>70</v>
      </c>
      <c r="I121" s="57" t="s">
        <v>506</v>
      </c>
      <c r="J121" s="57" t="s">
        <v>507</v>
      </c>
      <c r="K121" s="57"/>
      <c r="L121" s="52" t="str">
        <f>HYPERLINK("https://zibs.nl/wiki/LaboratoriumUitslag-v4.1(2017NL)#","")</f>
        <v/>
      </c>
      <c r="M121" s="57"/>
      <c r="N121" s="53" t="s">
        <v>106</v>
      </c>
      <c r="O121" s="54"/>
    </row>
    <row r="122" spans="1:15" ht="25.5" x14ac:dyDescent="0.25">
      <c r="A122" s="49" t="s">
        <v>489</v>
      </c>
      <c r="B122" s="61" t="s">
        <v>490</v>
      </c>
      <c r="C122" s="61" t="s">
        <v>508</v>
      </c>
      <c r="D122" s="61"/>
      <c r="E122" s="57" t="s">
        <v>509</v>
      </c>
      <c r="F122" s="57" t="s">
        <v>76</v>
      </c>
      <c r="G122" s="57" t="s">
        <v>69</v>
      </c>
      <c r="H122" s="57" t="s">
        <v>70</v>
      </c>
      <c r="I122" s="57" t="s">
        <v>510</v>
      </c>
      <c r="J122" s="57" t="s">
        <v>511</v>
      </c>
      <c r="K122" s="57"/>
      <c r="L122" s="52" t="str">
        <f>HYPERLINK("https://zibs.nl/wiki/LaboratoriumUitslag-v4.1(2017NL)#ContainerTypeCodelijst","ContainerTypeCodelijst")</f>
        <v>ContainerTypeCodelijst</v>
      </c>
      <c r="M122" s="57"/>
      <c r="N122" s="53" t="s">
        <v>106</v>
      </c>
      <c r="O122" s="54"/>
    </row>
    <row r="123" spans="1:15" ht="89.25" x14ac:dyDescent="0.25">
      <c r="A123" s="49" t="s">
        <v>489</v>
      </c>
      <c r="B123" s="61" t="s">
        <v>490</v>
      </c>
      <c r="C123" s="61" t="s">
        <v>512</v>
      </c>
      <c r="D123" s="61"/>
      <c r="E123" s="57" t="s">
        <v>513</v>
      </c>
      <c r="F123" s="57" t="s">
        <v>76</v>
      </c>
      <c r="G123" s="57" t="s">
        <v>69</v>
      </c>
      <c r="H123" s="57" t="s">
        <v>70</v>
      </c>
      <c r="I123" s="57" t="s">
        <v>514</v>
      </c>
      <c r="J123" s="57" t="s">
        <v>515</v>
      </c>
      <c r="K123" s="57" t="s">
        <v>516</v>
      </c>
      <c r="L123" s="52" t="str">
        <f>HYPERLINK("https://zibs.nl/wiki/LaboratoriumUitslag-v4.1(2017NL)#MonstermateriaalCodelijst","MonstermateriaalCodelijst")</f>
        <v>MonstermateriaalCodelijst</v>
      </c>
      <c r="M123" s="57"/>
      <c r="N123" s="53" t="s">
        <v>106</v>
      </c>
      <c r="O123" s="54"/>
    </row>
    <row r="124" spans="1:15" ht="25.5" x14ac:dyDescent="0.25">
      <c r="A124" s="49" t="s">
        <v>489</v>
      </c>
      <c r="B124" s="61" t="s">
        <v>490</v>
      </c>
      <c r="C124" s="61" t="s">
        <v>517</v>
      </c>
      <c r="D124" s="61"/>
      <c r="E124" s="57" t="s">
        <v>518</v>
      </c>
      <c r="F124" s="57" t="s">
        <v>76</v>
      </c>
      <c r="G124" s="57" t="s">
        <v>69</v>
      </c>
      <c r="H124" s="57" t="s">
        <v>70</v>
      </c>
      <c r="I124" s="57" t="s">
        <v>519</v>
      </c>
      <c r="J124" s="57" t="s">
        <v>520</v>
      </c>
      <c r="K124" s="57"/>
      <c r="L124" s="52" t="str">
        <f>HYPERLINK("https://zibs.nl/wiki/LaboratoriumUitslag-v4.1(2017NL)#MicroorganismeCodelijst","MicroorganismeCodelijst")</f>
        <v>MicroorganismeCodelijst</v>
      </c>
      <c r="M124" s="57"/>
      <c r="N124" s="53" t="s">
        <v>106</v>
      </c>
      <c r="O124" s="54"/>
    </row>
    <row r="125" spans="1:15" ht="25.5" x14ac:dyDescent="0.25">
      <c r="A125" s="49" t="s">
        <v>489</v>
      </c>
      <c r="B125" s="61" t="s">
        <v>490</v>
      </c>
      <c r="C125" s="61" t="s">
        <v>521</v>
      </c>
      <c r="D125" s="61"/>
      <c r="E125" s="57" t="s">
        <v>522</v>
      </c>
      <c r="F125" s="57" t="s">
        <v>97</v>
      </c>
      <c r="G125" s="57" t="s">
        <v>69</v>
      </c>
      <c r="H125" s="57" t="s">
        <v>70</v>
      </c>
      <c r="I125" s="57" t="s">
        <v>523</v>
      </c>
      <c r="J125" s="57" t="s">
        <v>524</v>
      </c>
      <c r="K125" s="57"/>
      <c r="L125" s="52" t="str">
        <f>HYPERLINK("https://zibs.nl/wiki/LaboratoriumUitslag-v4.1(2017NL)#","")</f>
        <v/>
      </c>
      <c r="M125" s="57"/>
      <c r="N125" s="53" t="s">
        <v>106</v>
      </c>
      <c r="O125" s="54"/>
    </row>
    <row r="126" spans="1:15" ht="25.5" x14ac:dyDescent="0.25">
      <c r="A126" s="49" t="s">
        <v>489</v>
      </c>
      <c r="B126" s="61" t="s">
        <v>490</v>
      </c>
      <c r="C126" s="61" t="s">
        <v>525</v>
      </c>
      <c r="D126" s="61"/>
      <c r="E126" s="57" t="s">
        <v>526</v>
      </c>
      <c r="F126" s="57" t="s">
        <v>88</v>
      </c>
      <c r="G126" s="57" t="s">
        <v>69</v>
      </c>
      <c r="H126" s="57" t="s">
        <v>70</v>
      </c>
      <c r="I126" s="57" t="s">
        <v>527</v>
      </c>
      <c r="J126" s="57" t="s">
        <v>528</v>
      </c>
      <c r="K126" s="57"/>
      <c r="L126" s="52" t="str">
        <f>HYPERLINK("https://zibs.nl/wiki/LaboratoriumUitslag-v4.1(2017NL)#","")</f>
        <v/>
      </c>
      <c r="M126" s="57"/>
      <c r="N126" s="53" t="s">
        <v>106</v>
      </c>
      <c r="O126" s="54"/>
    </row>
    <row r="127" spans="1:15" ht="25.5" x14ac:dyDescent="0.25">
      <c r="A127" s="49" t="s">
        <v>489</v>
      </c>
      <c r="B127" s="61" t="s">
        <v>490</v>
      </c>
      <c r="C127" s="61" t="s">
        <v>529</v>
      </c>
      <c r="D127" s="61"/>
      <c r="E127" s="57" t="s">
        <v>530</v>
      </c>
      <c r="F127" s="57" t="s">
        <v>88</v>
      </c>
      <c r="G127" s="57" t="s">
        <v>69</v>
      </c>
      <c r="H127" s="57" t="s">
        <v>70</v>
      </c>
      <c r="I127" s="57" t="s">
        <v>531</v>
      </c>
      <c r="J127" s="57" t="s">
        <v>532</v>
      </c>
      <c r="K127" s="57" t="s">
        <v>533</v>
      </c>
      <c r="L127" s="52" t="str">
        <f>HYPERLINK("https://zibs.nl/wiki/LaboratoriumUitslag-v4.1(2017NL)#","")</f>
        <v/>
      </c>
      <c r="M127" s="57"/>
      <c r="N127" s="53" t="s">
        <v>106</v>
      </c>
      <c r="O127" s="54"/>
    </row>
    <row r="128" spans="1:15" ht="25.5" x14ac:dyDescent="0.25">
      <c r="A128" s="49" t="s">
        <v>489</v>
      </c>
      <c r="B128" s="61" t="s">
        <v>490</v>
      </c>
      <c r="C128" s="61" t="s">
        <v>534</v>
      </c>
      <c r="D128" s="61"/>
      <c r="E128" s="57" t="s">
        <v>535</v>
      </c>
      <c r="F128" s="57" t="s">
        <v>88</v>
      </c>
      <c r="G128" s="57" t="s">
        <v>69</v>
      </c>
      <c r="H128" s="57" t="s">
        <v>70</v>
      </c>
      <c r="I128" s="57" t="s">
        <v>536</v>
      </c>
      <c r="J128" s="57" t="s">
        <v>537</v>
      </c>
      <c r="K128" s="57"/>
      <c r="L128" s="52" t="str">
        <f>HYPERLINK("https://zibs.nl/wiki/LaboratoriumUitslag-v4.1(2017NL)#","")</f>
        <v/>
      </c>
      <c r="M128" s="57"/>
      <c r="N128" s="53" t="s">
        <v>106</v>
      </c>
      <c r="O128" s="54"/>
    </row>
    <row r="129" spans="1:15" ht="25.5" x14ac:dyDescent="0.25">
      <c r="A129" s="49" t="s">
        <v>489</v>
      </c>
      <c r="B129" s="61" t="s">
        <v>490</v>
      </c>
      <c r="C129" s="61" t="s">
        <v>538</v>
      </c>
      <c r="D129" s="61"/>
      <c r="E129" s="57" t="s">
        <v>539</v>
      </c>
      <c r="F129" s="57" t="s">
        <v>76</v>
      </c>
      <c r="G129" s="57" t="s">
        <v>69</v>
      </c>
      <c r="H129" s="57" t="s">
        <v>70</v>
      </c>
      <c r="I129" s="57" t="s">
        <v>540</v>
      </c>
      <c r="J129" s="57" t="s">
        <v>541</v>
      </c>
      <c r="K129" s="57" t="s">
        <v>542</v>
      </c>
      <c r="L129" s="52" t="str">
        <f>HYPERLINK("https://zibs.nl/wiki/LaboratoriumUitslag-v4.1(2017NL)#AfnameprocedureCodelijst","AfnameprocedureCodelijst")</f>
        <v>AfnameprocedureCodelijst</v>
      </c>
      <c r="M129" s="57"/>
      <c r="N129" s="53" t="s">
        <v>106</v>
      </c>
      <c r="O129" s="54"/>
    </row>
    <row r="130" spans="1:15" ht="38.25" x14ac:dyDescent="0.25">
      <c r="A130" s="49" t="s">
        <v>489</v>
      </c>
      <c r="B130" s="61" t="s">
        <v>490</v>
      </c>
      <c r="C130" s="61" t="s">
        <v>543</v>
      </c>
      <c r="D130" s="61"/>
      <c r="E130" s="57" t="s">
        <v>544</v>
      </c>
      <c r="F130" s="57" t="s">
        <v>76</v>
      </c>
      <c r="G130" s="57" t="s">
        <v>69</v>
      </c>
      <c r="H130" s="57" t="s">
        <v>70</v>
      </c>
      <c r="I130" s="57" t="s">
        <v>545</v>
      </c>
      <c r="J130" s="57" t="s">
        <v>546</v>
      </c>
      <c r="K130" s="57" t="s">
        <v>547</v>
      </c>
      <c r="L130" s="52" t="str">
        <f>HYPERLINK("https://zibs.nl/wiki/LaboratoriumUitslag-v4.1(2017NL)#MonsterAnatomischeLocatieCodelijst","MonsterAnatomischeLocatieCodelijst")</f>
        <v>MonsterAnatomischeLocatieCodelijst</v>
      </c>
      <c r="M130" s="57"/>
      <c r="N130" s="53" t="s">
        <v>106</v>
      </c>
      <c r="O130" s="54"/>
    </row>
    <row r="131" spans="1:15" ht="25.5" x14ac:dyDescent="0.25">
      <c r="A131" s="49" t="s">
        <v>489</v>
      </c>
      <c r="B131" s="61" t="s">
        <v>490</v>
      </c>
      <c r="C131" s="61" t="s">
        <v>548</v>
      </c>
      <c r="D131" s="61"/>
      <c r="E131" s="57" t="s">
        <v>549</v>
      </c>
      <c r="F131" s="57" t="s">
        <v>76</v>
      </c>
      <c r="G131" s="57" t="s">
        <v>69</v>
      </c>
      <c r="H131" s="57" t="s">
        <v>70</v>
      </c>
      <c r="I131" s="57" t="s">
        <v>550</v>
      </c>
      <c r="J131" s="57" t="s">
        <v>551</v>
      </c>
      <c r="K131" s="57" t="s">
        <v>552</v>
      </c>
      <c r="L131" s="52" t="str">
        <f>HYPERLINK("https://zibs.nl/wiki/LaboratoriumUitslag-v4.1(2017NL)#LateraliteitCodelijst","LateraliteitCodelijst")</f>
        <v>LateraliteitCodelijst</v>
      </c>
      <c r="M131" s="57"/>
      <c r="N131" s="53" t="s">
        <v>106</v>
      </c>
      <c r="O131" s="54"/>
    </row>
    <row r="132" spans="1:15" ht="38.25" x14ac:dyDescent="0.25">
      <c r="A132" s="49" t="s">
        <v>489</v>
      </c>
      <c r="B132" s="61" t="s">
        <v>490</v>
      </c>
      <c r="C132" s="61" t="s">
        <v>553</v>
      </c>
      <c r="D132" s="61"/>
      <c r="E132" s="57" t="s">
        <v>554</v>
      </c>
      <c r="F132" s="57" t="s">
        <v>76</v>
      </c>
      <c r="G132" s="57" t="s">
        <v>69</v>
      </c>
      <c r="H132" s="57" t="s">
        <v>70</v>
      </c>
      <c r="I132" s="57" t="s">
        <v>555</v>
      </c>
      <c r="J132" s="57" t="s">
        <v>556</v>
      </c>
      <c r="K132" s="57" t="s">
        <v>557</v>
      </c>
      <c r="L132" s="52" t="str">
        <f>HYPERLINK("https://zibs.nl/wiki/LaboratoriumUitslag-v4.1(2017NL)#MorfologieCodelijst","MorfologieCodelijst")</f>
        <v>MorfologieCodelijst</v>
      </c>
      <c r="M132" s="57"/>
      <c r="N132" s="53" t="s">
        <v>106</v>
      </c>
      <c r="O132" s="54"/>
    </row>
    <row r="133" spans="1:15" ht="25.5" x14ac:dyDescent="0.25">
      <c r="A133" s="49" t="s">
        <v>489</v>
      </c>
      <c r="B133" s="61" t="s">
        <v>490</v>
      </c>
      <c r="C133" s="61" t="s">
        <v>558</v>
      </c>
      <c r="D133" s="61"/>
      <c r="E133" s="57" t="s">
        <v>559</v>
      </c>
      <c r="F133" s="57" t="s">
        <v>68</v>
      </c>
      <c r="G133" s="57" t="s">
        <v>69</v>
      </c>
      <c r="H133" s="57" t="s">
        <v>70</v>
      </c>
      <c r="I133" s="57" t="s">
        <v>560</v>
      </c>
      <c r="J133" s="57" t="s">
        <v>561</v>
      </c>
      <c r="K133" s="57" t="s">
        <v>562</v>
      </c>
      <c r="L133" s="52" t="str">
        <f>HYPERLINK("https://zibs.nl/wiki/LaboratoriumUitslag-v4.1(2017NL)#","")</f>
        <v/>
      </c>
      <c r="M133" s="57"/>
      <c r="N133" s="53" t="s">
        <v>106</v>
      </c>
      <c r="O133" s="54"/>
    </row>
    <row r="134" spans="1:15" ht="25.5" x14ac:dyDescent="0.25">
      <c r="A134" s="49" t="s">
        <v>489</v>
      </c>
      <c r="B134" s="61" t="s">
        <v>490</v>
      </c>
      <c r="C134" s="61" t="s">
        <v>66</v>
      </c>
      <c r="D134" s="61"/>
      <c r="E134" s="57" t="s">
        <v>67</v>
      </c>
      <c r="F134" s="57" t="s">
        <v>68</v>
      </c>
      <c r="G134" s="57" t="s">
        <v>69</v>
      </c>
      <c r="H134" s="57" t="s">
        <v>70</v>
      </c>
      <c r="I134" s="57" t="s">
        <v>563</v>
      </c>
      <c r="J134" s="57" t="s">
        <v>564</v>
      </c>
      <c r="K134" s="57" t="s">
        <v>483</v>
      </c>
      <c r="L134" s="52" t="str">
        <f>HYPERLINK("https://zibs.nl/wiki/LaboratoriumUitslag-v4.1(2017NL)#","")</f>
        <v/>
      </c>
      <c r="M134" s="57"/>
      <c r="N134" s="53" t="s">
        <v>106</v>
      </c>
      <c r="O134" s="54"/>
    </row>
    <row r="135" spans="1:15" ht="25.5" x14ac:dyDescent="0.25">
      <c r="A135" s="49" t="s">
        <v>489</v>
      </c>
      <c r="B135" s="66" t="s">
        <v>490</v>
      </c>
      <c r="C135" s="66" t="s">
        <v>565</v>
      </c>
      <c r="D135" s="66"/>
      <c r="E135" s="60" t="s">
        <v>566</v>
      </c>
      <c r="F135" s="60"/>
      <c r="G135" s="60" t="s">
        <v>158</v>
      </c>
      <c r="H135" s="60" t="s">
        <v>83</v>
      </c>
      <c r="I135" s="60" t="s">
        <v>567</v>
      </c>
      <c r="J135" s="60" t="s">
        <v>568</v>
      </c>
      <c r="K135" s="60"/>
      <c r="L135" s="52" t="str">
        <f>HYPERLINK("https://zibs.nl/wiki/LaboratoriumUitslag-v4.1(2017NL)#","")</f>
        <v/>
      </c>
      <c r="M135" s="60"/>
      <c r="N135" s="53" t="s">
        <v>106</v>
      </c>
      <c r="O135" s="54"/>
    </row>
    <row r="136" spans="1:15" ht="15" x14ac:dyDescent="0.25">
      <c r="A136" s="49" t="s">
        <v>489</v>
      </c>
      <c r="B136" s="61" t="s">
        <v>490</v>
      </c>
      <c r="C136" s="61" t="s">
        <v>569</v>
      </c>
      <c r="D136" s="61"/>
      <c r="E136" s="57" t="s">
        <v>570</v>
      </c>
      <c r="F136" s="57" t="s">
        <v>76</v>
      </c>
      <c r="G136" s="57" t="s">
        <v>77</v>
      </c>
      <c r="H136" s="57" t="s">
        <v>70</v>
      </c>
      <c r="I136" s="57" t="s">
        <v>571</v>
      </c>
      <c r="J136" s="57" t="s">
        <v>572</v>
      </c>
      <c r="K136" s="57"/>
      <c r="L136" s="52" t="str">
        <f>HYPERLINK("https://zibs.nl/wiki/LaboratoriumUitslag-v4.1(2017NL)#TestCodeCodelijst","TestCodeCodelijst")</f>
        <v>TestCodeCodelijst</v>
      </c>
      <c r="M136" s="57"/>
      <c r="N136" s="53" t="s">
        <v>106</v>
      </c>
      <c r="O136" s="54"/>
    </row>
    <row r="137" spans="1:15" ht="255" x14ac:dyDescent="0.25">
      <c r="A137" s="49" t="s">
        <v>489</v>
      </c>
      <c r="B137" s="61" t="s">
        <v>490</v>
      </c>
      <c r="C137" s="61" t="s">
        <v>573</v>
      </c>
      <c r="D137" s="61"/>
      <c r="E137" s="57" t="s">
        <v>574</v>
      </c>
      <c r="F137" s="57" t="s">
        <v>76</v>
      </c>
      <c r="G137" s="57" t="s">
        <v>69</v>
      </c>
      <c r="H137" s="57" t="s">
        <v>70</v>
      </c>
      <c r="I137" s="57" t="s">
        <v>575</v>
      </c>
      <c r="J137" s="57" t="s">
        <v>576</v>
      </c>
      <c r="K137" s="57" t="s">
        <v>577</v>
      </c>
      <c r="L137" s="52" t="str">
        <f>HYPERLINK("https://zibs.nl/wiki/LaboratoriumUitslag-v4.1(2017NL)#TestmethodeCodelijst","TestmethodeCodelijst")</f>
        <v>TestmethodeCodelijst</v>
      </c>
      <c r="M137" s="57" t="s">
        <v>578</v>
      </c>
      <c r="N137" s="53" t="s">
        <v>106</v>
      </c>
      <c r="O137" s="54"/>
    </row>
    <row r="138" spans="1:15" ht="25.5" x14ac:dyDescent="0.25">
      <c r="A138" s="49" t="s">
        <v>489</v>
      </c>
      <c r="B138" s="61" t="s">
        <v>490</v>
      </c>
      <c r="C138" s="61" t="s">
        <v>579</v>
      </c>
      <c r="D138" s="61"/>
      <c r="E138" s="57" t="s">
        <v>580</v>
      </c>
      <c r="F138" s="57" t="s">
        <v>88</v>
      </c>
      <c r="G138" s="57" t="s">
        <v>69</v>
      </c>
      <c r="H138" s="57" t="s">
        <v>70</v>
      </c>
      <c r="I138" s="57" t="s">
        <v>581</v>
      </c>
      <c r="J138" s="57" t="s">
        <v>582</v>
      </c>
      <c r="K138" s="57"/>
      <c r="L138" s="52" t="str">
        <f>HYPERLINK("https://zibs.nl/wiki/LaboratoriumUitslag-v4.1(2017NL)#","")</f>
        <v/>
      </c>
      <c r="M138" s="57"/>
      <c r="N138" s="53" t="s">
        <v>106</v>
      </c>
      <c r="O138" s="54"/>
    </row>
    <row r="139" spans="1:15" ht="25.5" x14ac:dyDescent="0.25">
      <c r="A139" s="49" t="s">
        <v>489</v>
      </c>
      <c r="B139" s="61" t="s">
        <v>490</v>
      </c>
      <c r="C139" s="61" t="s">
        <v>583</v>
      </c>
      <c r="D139" s="61"/>
      <c r="E139" s="57" t="s">
        <v>584</v>
      </c>
      <c r="F139" s="57" t="s">
        <v>585</v>
      </c>
      <c r="G139" s="57" t="s">
        <v>69</v>
      </c>
      <c r="H139" s="57" t="s">
        <v>70</v>
      </c>
      <c r="I139" s="57" t="s">
        <v>586</v>
      </c>
      <c r="J139" s="57" t="s">
        <v>587</v>
      </c>
      <c r="K139" s="57"/>
      <c r="L139" s="52" t="str">
        <f>HYPERLINK("https://zibs.nl/wiki/LaboratoriumUitslag-v4.1(2017NL)#","")</f>
        <v/>
      </c>
      <c r="M139" s="57"/>
      <c r="N139" s="53" t="s">
        <v>106</v>
      </c>
      <c r="O139" s="54"/>
    </row>
    <row r="140" spans="1:15" ht="25.5" x14ac:dyDescent="0.25">
      <c r="A140" s="49" t="s">
        <v>489</v>
      </c>
      <c r="B140" s="61" t="s">
        <v>490</v>
      </c>
      <c r="C140" s="61" t="s">
        <v>588</v>
      </c>
      <c r="D140" s="61"/>
      <c r="E140" s="57" t="s">
        <v>589</v>
      </c>
      <c r="F140" s="57" t="s">
        <v>76</v>
      </c>
      <c r="G140" s="57" t="s">
        <v>69</v>
      </c>
      <c r="H140" s="57" t="s">
        <v>70</v>
      </c>
      <c r="I140" s="57" t="s">
        <v>590</v>
      </c>
      <c r="J140" s="57" t="s">
        <v>591</v>
      </c>
      <c r="K140" s="57"/>
      <c r="L140" s="52" t="str">
        <f>HYPERLINK("https://zibs.nl/wiki/LaboratoriumUitslag-v4.1(2017NL)#TestUitslagStatusCodelijst","TestUitslagStatusCodelijst")</f>
        <v>TestUitslagStatusCodelijst</v>
      </c>
      <c r="M140" s="57"/>
      <c r="N140" s="53" t="s">
        <v>106</v>
      </c>
      <c r="O140" s="54"/>
    </row>
    <row r="141" spans="1:15" ht="293.25" x14ac:dyDescent="0.25">
      <c r="A141" s="49" t="s">
        <v>489</v>
      </c>
      <c r="B141" s="61" t="s">
        <v>490</v>
      </c>
      <c r="C141" s="61" t="s">
        <v>592</v>
      </c>
      <c r="D141" s="61"/>
      <c r="E141" s="57" t="s">
        <v>593</v>
      </c>
      <c r="F141" s="57" t="s">
        <v>585</v>
      </c>
      <c r="G141" s="57" t="s">
        <v>69</v>
      </c>
      <c r="H141" s="57" t="s">
        <v>70</v>
      </c>
      <c r="I141" s="57" t="s">
        <v>594</v>
      </c>
      <c r="J141" s="57" t="s">
        <v>595</v>
      </c>
      <c r="K141" s="57"/>
      <c r="L141" s="52" t="str">
        <f>HYPERLINK("https://zibs.nl/wiki/LaboratoriumUitslag-v4.1(2017NL)#","")</f>
        <v/>
      </c>
      <c r="M141" s="57" t="s">
        <v>596</v>
      </c>
      <c r="N141" s="53" t="s">
        <v>106</v>
      </c>
      <c r="O141" s="54"/>
    </row>
    <row r="142" spans="1:15" ht="293.25" x14ac:dyDescent="0.25">
      <c r="A142" s="49" t="s">
        <v>489</v>
      </c>
      <c r="B142" s="61" t="s">
        <v>490</v>
      </c>
      <c r="C142" s="61" t="s">
        <v>597</v>
      </c>
      <c r="D142" s="61"/>
      <c r="E142" s="57" t="s">
        <v>598</v>
      </c>
      <c r="F142" s="57" t="s">
        <v>585</v>
      </c>
      <c r="G142" s="57" t="s">
        <v>69</v>
      </c>
      <c r="H142" s="57" t="s">
        <v>70</v>
      </c>
      <c r="I142" s="57" t="s">
        <v>599</v>
      </c>
      <c r="J142" s="57" t="s">
        <v>600</v>
      </c>
      <c r="K142" s="57"/>
      <c r="L142" s="52" t="str">
        <f>HYPERLINK("https://zibs.nl/wiki/LaboratoriumUitslag-v4.1(2017NL)#","")</f>
        <v/>
      </c>
      <c r="M142" s="57" t="s">
        <v>596</v>
      </c>
      <c r="N142" s="53" t="s">
        <v>106</v>
      </c>
      <c r="O142" s="54"/>
    </row>
    <row r="143" spans="1:15" ht="25.5" x14ac:dyDescent="0.25">
      <c r="A143" s="49" t="s">
        <v>489</v>
      </c>
      <c r="B143" s="61" t="s">
        <v>490</v>
      </c>
      <c r="C143" s="61" t="s">
        <v>601</v>
      </c>
      <c r="D143" s="61"/>
      <c r="E143" s="57" t="s">
        <v>602</v>
      </c>
      <c r="F143" s="57" t="s">
        <v>76</v>
      </c>
      <c r="G143" s="57" t="s">
        <v>69</v>
      </c>
      <c r="H143" s="57" t="s">
        <v>70</v>
      </c>
      <c r="I143" s="57" t="s">
        <v>603</v>
      </c>
      <c r="J143" s="57" t="s">
        <v>604</v>
      </c>
      <c r="K143" s="57"/>
      <c r="L143" s="52" t="str">
        <f>HYPERLINK("https://zibs.nl/wiki/LaboratoriumUitslag-v4.1(2017NL)#InterpretatieMethodeCodelijst","InterpretatieMethodeCodelijst")</f>
        <v>InterpretatieMethodeCodelijst</v>
      </c>
      <c r="M143" s="57"/>
      <c r="N143" s="53" t="s">
        <v>106</v>
      </c>
      <c r="O143" s="54"/>
    </row>
    <row r="144" spans="1:15" ht="25.5" x14ac:dyDescent="0.25">
      <c r="A144" s="49" t="s">
        <v>489</v>
      </c>
      <c r="B144" s="61" t="s">
        <v>490</v>
      </c>
      <c r="C144" s="61" t="s">
        <v>605</v>
      </c>
      <c r="D144" s="61"/>
      <c r="E144" s="57" t="s">
        <v>606</v>
      </c>
      <c r="F144" s="57" t="s">
        <v>76</v>
      </c>
      <c r="G144" s="57" t="s">
        <v>158</v>
      </c>
      <c r="H144" s="57" t="s">
        <v>70</v>
      </c>
      <c r="I144" s="57" t="s">
        <v>607</v>
      </c>
      <c r="J144" s="57" t="s">
        <v>608</v>
      </c>
      <c r="K144" s="57" t="s">
        <v>609</v>
      </c>
      <c r="L144" s="52" t="str">
        <f>HYPERLINK("https://zibs.nl/wiki/LaboratoriumUitslag-v4.1(2017NL)#InterpretatieVlaggenCodelijst","InterpretatieVlaggenCodelijst")</f>
        <v>InterpretatieVlaggenCodelijst</v>
      </c>
      <c r="M144" s="57"/>
      <c r="N144" s="53" t="s">
        <v>106</v>
      </c>
      <c r="O144" s="54"/>
    </row>
    <row r="145" spans="1:15" ht="25.5" x14ac:dyDescent="0.25">
      <c r="A145" s="49" t="s">
        <v>489</v>
      </c>
      <c r="B145" s="61" t="s">
        <v>490</v>
      </c>
      <c r="C145" s="61" t="s">
        <v>610</v>
      </c>
      <c r="D145" s="61"/>
      <c r="E145" s="57" t="s">
        <v>611</v>
      </c>
      <c r="F145" s="57" t="s">
        <v>68</v>
      </c>
      <c r="G145" s="57" t="s">
        <v>69</v>
      </c>
      <c r="H145" s="57" t="s">
        <v>70</v>
      </c>
      <c r="I145" s="57" t="s">
        <v>612</v>
      </c>
      <c r="J145" s="57" t="s">
        <v>613</v>
      </c>
      <c r="K145" s="57" t="s">
        <v>614</v>
      </c>
      <c r="L145" s="52" t="str">
        <f>HYPERLINK("https://zibs.nl/wiki/LaboratoriumUitslag-v4.1(2017NL)#","")</f>
        <v/>
      </c>
      <c r="M145" s="57"/>
      <c r="N145" s="53" t="s">
        <v>106</v>
      </c>
      <c r="O145" s="54"/>
    </row>
    <row r="146" spans="1:15" ht="38.25" x14ac:dyDescent="0.25">
      <c r="A146" s="49" t="s">
        <v>489</v>
      </c>
      <c r="B146" s="61" t="s">
        <v>490</v>
      </c>
      <c r="C146" s="61" t="s">
        <v>615</v>
      </c>
      <c r="D146" s="61"/>
      <c r="E146" s="57" t="s">
        <v>616</v>
      </c>
      <c r="F146" s="57" t="s">
        <v>76</v>
      </c>
      <c r="G146" s="57" t="s">
        <v>69</v>
      </c>
      <c r="H146" s="57" t="s">
        <v>70</v>
      </c>
      <c r="I146" s="57" t="s">
        <v>617</v>
      </c>
      <c r="J146" s="57" t="s">
        <v>618</v>
      </c>
      <c r="K146" s="57"/>
      <c r="L146" s="52" t="str">
        <f>HYPERLINK("https://zibs.nl/wiki/LaboratoriumUitslag-v4.1(2017NL)#OnderzoekCodelijst","OnderzoekCodelijst")</f>
        <v>OnderzoekCodelijst</v>
      </c>
      <c r="M146" s="57"/>
      <c r="N146" s="53" t="s">
        <v>106</v>
      </c>
      <c r="O146" s="54"/>
    </row>
    <row r="147" spans="1:15" ht="38.25" x14ac:dyDescent="0.25">
      <c r="A147" s="49" t="s">
        <v>489</v>
      </c>
      <c r="B147" s="61" t="s">
        <v>490</v>
      </c>
      <c r="C147" s="61" t="s">
        <v>619</v>
      </c>
      <c r="D147" s="61"/>
      <c r="E147" s="57" t="s">
        <v>620</v>
      </c>
      <c r="F147" s="57" t="s">
        <v>76</v>
      </c>
      <c r="G147" s="57" t="s">
        <v>69</v>
      </c>
      <c r="H147" s="57" t="s">
        <v>70</v>
      </c>
      <c r="I147" s="57" t="s">
        <v>621</v>
      </c>
      <c r="J147" s="57" t="s">
        <v>622</v>
      </c>
      <c r="K147" s="57"/>
      <c r="L147" s="52" t="str">
        <f>HYPERLINK("https://zibs.nl/wiki/LaboratoriumUitslag-v4.1(2017NL)#ResultaatStatusCodelijst","ResultaatStatusCodelijst")</f>
        <v>ResultaatStatusCodelijst</v>
      </c>
      <c r="M147" s="57"/>
      <c r="N147" s="53" t="s">
        <v>106</v>
      </c>
      <c r="O147" s="54"/>
    </row>
    <row r="148" spans="1:15" ht="25.5" x14ac:dyDescent="0.25">
      <c r="A148" s="49" t="s">
        <v>489</v>
      </c>
      <c r="B148" s="61" t="s">
        <v>490</v>
      </c>
      <c r="C148" s="61" t="s">
        <v>66</v>
      </c>
      <c r="D148" s="61"/>
      <c r="E148" s="57" t="s">
        <v>67</v>
      </c>
      <c r="F148" s="57" t="s">
        <v>68</v>
      </c>
      <c r="G148" s="57" t="s">
        <v>69</v>
      </c>
      <c r="H148" s="57" t="s">
        <v>70</v>
      </c>
      <c r="I148" s="57" t="s">
        <v>623</v>
      </c>
      <c r="J148" s="57" t="s">
        <v>624</v>
      </c>
      <c r="K148" s="57" t="s">
        <v>483</v>
      </c>
      <c r="L148" s="52" t="str">
        <f>HYPERLINK("https://zibs.nl/wiki/LaboratoriumUitslag-v4.1(2017NL)#","")</f>
        <v/>
      </c>
      <c r="M148" s="57"/>
      <c r="N148" s="53" t="s">
        <v>106</v>
      </c>
      <c r="O148" s="54"/>
    </row>
    <row r="149" spans="1:15" ht="15" x14ac:dyDescent="0.25">
      <c r="A149" s="49" t="s">
        <v>489</v>
      </c>
      <c r="B149" s="61" t="s">
        <v>490</v>
      </c>
      <c r="C149" s="61" t="s">
        <v>625</v>
      </c>
      <c r="D149" s="61"/>
      <c r="E149" s="57" t="s">
        <v>626</v>
      </c>
      <c r="F149" s="57" t="s">
        <v>76</v>
      </c>
      <c r="G149" s="57" t="s">
        <v>69</v>
      </c>
      <c r="H149" s="57" t="s">
        <v>70</v>
      </c>
      <c r="I149" s="57" t="s">
        <v>627</v>
      </c>
      <c r="J149" s="57" t="s">
        <v>628</v>
      </c>
      <c r="K149" s="57"/>
      <c r="L149" s="52" t="str">
        <f>HYPERLINK("https://zibs.nl/wiki/LaboratoriumUitslag-v4.1(2017NL)#ResultaatTypeCodelijst","ResultaatTypeCodelijst")</f>
        <v>ResultaatTypeCodelijst</v>
      </c>
      <c r="M149" s="57"/>
      <c r="N149" s="53" t="s">
        <v>106</v>
      </c>
      <c r="O149" s="54"/>
    </row>
    <row r="150" spans="1:15" ht="38.25" x14ac:dyDescent="0.25">
      <c r="A150" s="49" t="s">
        <v>489</v>
      </c>
      <c r="B150" s="61" t="s">
        <v>490</v>
      </c>
      <c r="C150" s="61" t="s">
        <v>629</v>
      </c>
      <c r="D150" s="61"/>
      <c r="E150" s="57" t="s">
        <v>630</v>
      </c>
      <c r="F150" s="57"/>
      <c r="G150" s="57" t="s">
        <v>158</v>
      </c>
      <c r="H150" s="57" t="s">
        <v>110</v>
      </c>
      <c r="I150" s="57" t="s">
        <v>631</v>
      </c>
      <c r="J150" s="57" t="s">
        <v>632</v>
      </c>
      <c r="K150" s="57"/>
      <c r="L150" s="62" t="s">
        <v>633</v>
      </c>
      <c r="M150" s="57"/>
      <c r="N150" s="53" t="s">
        <v>106</v>
      </c>
      <c r="O150" s="54"/>
    </row>
    <row r="151" spans="1:15" ht="38.25" x14ac:dyDescent="0.25">
      <c r="A151" s="49" t="s">
        <v>489</v>
      </c>
      <c r="B151" s="61" t="s">
        <v>490</v>
      </c>
      <c r="C151" s="61" t="s">
        <v>634</v>
      </c>
      <c r="D151" s="61"/>
      <c r="E151" s="57" t="s">
        <v>635</v>
      </c>
      <c r="F151" s="57"/>
      <c r="G151" s="57" t="s">
        <v>69</v>
      </c>
      <c r="H151" s="57" t="s">
        <v>399</v>
      </c>
      <c r="I151" s="57" t="s">
        <v>636</v>
      </c>
      <c r="J151" s="57" t="s">
        <v>278</v>
      </c>
      <c r="K151" s="57"/>
      <c r="L151" s="62" t="s">
        <v>402</v>
      </c>
      <c r="M151" s="57"/>
      <c r="N151" s="53" t="s">
        <v>106</v>
      </c>
      <c r="O151" s="54"/>
    </row>
    <row r="152" spans="1:15" ht="25.5" x14ac:dyDescent="0.25">
      <c r="A152" s="49" t="s">
        <v>637</v>
      </c>
      <c r="B152" s="49" t="s">
        <v>638</v>
      </c>
      <c r="C152" s="49" t="s">
        <v>637</v>
      </c>
      <c r="D152" s="49"/>
      <c r="E152" s="51" t="s">
        <v>639</v>
      </c>
      <c r="F152" s="51"/>
      <c r="G152" s="51"/>
      <c r="H152" s="51" t="s">
        <v>62</v>
      </c>
      <c r="I152" s="51" t="s">
        <v>640</v>
      </c>
      <c r="J152" s="51" t="s">
        <v>641</v>
      </c>
      <c r="K152" s="51"/>
      <c r="L152" s="52" t="str">
        <f>HYPERLINK("https://zibs.nl/wiki/Lichaamsgewicht-v3.1(2017NL)#","")</f>
        <v/>
      </c>
      <c r="M152" s="51"/>
      <c r="N152" s="53" t="s">
        <v>106</v>
      </c>
      <c r="O152" s="54"/>
    </row>
    <row r="153" spans="1:15" ht="76.5" x14ac:dyDescent="0.25">
      <c r="A153" s="49" t="s">
        <v>637</v>
      </c>
      <c r="B153" s="61" t="s">
        <v>638</v>
      </c>
      <c r="C153" s="61" t="s">
        <v>642</v>
      </c>
      <c r="D153" s="61"/>
      <c r="E153" s="57" t="s">
        <v>643</v>
      </c>
      <c r="F153" s="57" t="s">
        <v>97</v>
      </c>
      <c r="G153" s="57" t="s">
        <v>77</v>
      </c>
      <c r="H153" s="57" t="s">
        <v>70</v>
      </c>
      <c r="I153" s="57" t="s">
        <v>644</v>
      </c>
      <c r="J153" s="57" t="s">
        <v>645</v>
      </c>
      <c r="K153" s="57" t="s">
        <v>646</v>
      </c>
      <c r="L153" s="52" t="str">
        <f>HYPERLINK("https://zibs.nl/wiki/Lichaamsgewicht-v3.1(2017NL)#","")</f>
        <v/>
      </c>
      <c r="M153" s="57"/>
      <c r="N153" s="53" t="s">
        <v>106</v>
      </c>
      <c r="O153" s="54"/>
    </row>
    <row r="154" spans="1:15" ht="38.25" x14ac:dyDescent="0.25">
      <c r="A154" s="49" t="s">
        <v>637</v>
      </c>
      <c r="B154" s="61" t="s">
        <v>638</v>
      </c>
      <c r="C154" s="61" t="s">
        <v>66</v>
      </c>
      <c r="D154" s="61"/>
      <c r="E154" s="57" t="s">
        <v>67</v>
      </c>
      <c r="F154" s="57" t="s">
        <v>68</v>
      </c>
      <c r="G154" s="57" t="s">
        <v>69</v>
      </c>
      <c r="H154" s="57" t="s">
        <v>70</v>
      </c>
      <c r="I154" s="57" t="s">
        <v>647</v>
      </c>
      <c r="J154" s="57" t="s">
        <v>648</v>
      </c>
      <c r="K154" s="57" t="s">
        <v>73</v>
      </c>
      <c r="L154" s="52" t="str">
        <f>HYPERLINK("https://zibs.nl/wiki/Lichaamsgewicht-v3.1(2017NL)#","")</f>
        <v/>
      </c>
      <c r="M154" s="57"/>
      <c r="N154" s="53" t="s">
        <v>106</v>
      </c>
      <c r="O154" s="54"/>
    </row>
    <row r="155" spans="1:15" ht="15" x14ac:dyDescent="0.25">
      <c r="A155" s="49" t="s">
        <v>637</v>
      </c>
      <c r="B155" s="61" t="s">
        <v>638</v>
      </c>
      <c r="C155" s="61" t="s">
        <v>649</v>
      </c>
      <c r="D155" s="61"/>
      <c r="E155" s="57" t="s">
        <v>650</v>
      </c>
      <c r="F155" s="57" t="s">
        <v>88</v>
      </c>
      <c r="G155" s="57" t="s">
        <v>77</v>
      </c>
      <c r="H155" s="57" t="s">
        <v>70</v>
      </c>
      <c r="I155" s="57" t="s">
        <v>651</v>
      </c>
      <c r="J155" s="57" t="s">
        <v>652</v>
      </c>
      <c r="K155" s="57"/>
      <c r="L155" s="52" t="str">
        <f>HYPERLINK("https://zibs.nl/wiki/Lichaamsgewicht-v3.1(2017NL)#","")</f>
        <v/>
      </c>
      <c r="M155" s="57"/>
      <c r="N155" s="53" t="s">
        <v>106</v>
      </c>
      <c r="O155" s="54"/>
    </row>
    <row r="156" spans="1:15" ht="15" x14ac:dyDescent="0.25">
      <c r="A156" s="49" t="s">
        <v>637</v>
      </c>
      <c r="B156" s="61" t="s">
        <v>638</v>
      </c>
      <c r="C156" s="61" t="s">
        <v>653</v>
      </c>
      <c r="D156" s="61"/>
      <c r="E156" s="57" t="s">
        <v>654</v>
      </c>
      <c r="F156" s="57" t="s">
        <v>76</v>
      </c>
      <c r="G156" s="57" t="s">
        <v>69</v>
      </c>
      <c r="H156" s="57" t="s">
        <v>70</v>
      </c>
      <c r="I156" s="57" t="s">
        <v>655</v>
      </c>
      <c r="J156" s="57" t="s">
        <v>656</v>
      </c>
      <c r="K156" s="57"/>
      <c r="L156" s="52" t="str">
        <f>HYPERLINK("https://zibs.nl/wiki/Lichaamsgewicht-v3.1(2017NL)#KledingCodelijst","KledingCodelijst")</f>
        <v>KledingCodelijst</v>
      </c>
      <c r="M156" s="57"/>
      <c r="N156" s="53" t="s">
        <v>106</v>
      </c>
      <c r="O156" s="54"/>
    </row>
    <row r="157" spans="1:15" ht="25.5" x14ac:dyDescent="0.25">
      <c r="A157" s="49" t="s">
        <v>657</v>
      </c>
      <c r="B157" s="49" t="s">
        <v>658</v>
      </c>
      <c r="C157" s="49" t="s">
        <v>657</v>
      </c>
      <c r="D157" s="49"/>
      <c r="E157" s="51" t="s">
        <v>659</v>
      </c>
      <c r="F157" s="51"/>
      <c r="G157" s="51"/>
      <c r="H157" s="51" t="s">
        <v>62</v>
      </c>
      <c r="I157" s="51" t="s">
        <v>660</v>
      </c>
      <c r="J157" s="51" t="s">
        <v>661</v>
      </c>
      <c r="K157" s="51"/>
      <c r="L157" s="52" t="str">
        <f>HYPERLINK("https://zibs.nl/wiki/Lichaamslengte-v3.1(2017NL)#","")</f>
        <v/>
      </c>
      <c r="M157" s="51"/>
      <c r="N157" s="53" t="s">
        <v>106</v>
      </c>
      <c r="O157" s="54"/>
    </row>
    <row r="158" spans="1:15" ht="51" x14ac:dyDescent="0.25">
      <c r="A158" s="49" t="s">
        <v>657</v>
      </c>
      <c r="B158" s="61" t="s">
        <v>658</v>
      </c>
      <c r="C158" s="61" t="s">
        <v>662</v>
      </c>
      <c r="D158" s="61"/>
      <c r="E158" s="57" t="s">
        <v>663</v>
      </c>
      <c r="F158" s="57" t="s">
        <v>97</v>
      </c>
      <c r="G158" s="57" t="s">
        <v>77</v>
      </c>
      <c r="H158" s="57" t="s">
        <v>70</v>
      </c>
      <c r="I158" s="57" t="s">
        <v>664</v>
      </c>
      <c r="J158" s="57" t="s">
        <v>665</v>
      </c>
      <c r="K158" s="57" t="s">
        <v>666</v>
      </c>
      <c r="L158" s="52" t="str">
        <f>HYPERLINK("https://zibs.nl/wiki/Lichaamslengte-v3.1(2017NL)#","")</f>
        <v/>
      </c>
      <c r="M158" s="57"/>
      <c r="N158" s="53" t="s">
        <v>106</v>
      </c>
      <c r="O158" s="54"/>
    </row>
    <row r="159" spans="1:15" ht="15" x14ac:dyDescent="0.25">
      <c r="A159" s="49" t="s">
        <v>657</v>
      </c>
      <c r="B159" s="61" t="s">
        <v>658</v>
      </c>
      <c r="C159" s="61" t="s">
        <v>667</v>
      </c>
      <c r="D159" s="61"/>
      <c r="E159" s="57" t="s">
        <v>668</v>
      </c>
      <c r="F159" s="57" t="s">
        <v>88</v>
      </c>
      <c r="G159" s="57" t="s">
        <v>77</v>
      </c>
      <c r="H159" s="57" t="s">
        <v>70</v>
      </c>
      <c r="I159" s="57" t="s">
        <v>669</v>
      </c>
      <c r="J159" s="57" t="s">
        <v>670</v>
      </c>
      <c r="K159" s="57"/>
      <c r="L159" s="52" t="str">
        <f>HYPERLINK("https://zibs.nl/wiki/Lichaamslengte-v3.1(2017NL)#","")</f>
        <v/>
      </c>
      <c r="M159" s="57"/>
      <c r="N159" s="53" t="s">
        <v>106</v>
      </c>
      <c r="O159" s="54"/>
    </row>
    <row r="160" spans="1:15" ht="25.5" x14ac:dyDescent="0.25">
      <c r="A160" s="49" t="s">
        <v>657</v>
      </c>
      <c r="B160" s="61" t="s">
        <v>658</v>
      </c>
      <c r="C160" s="61" t="s">
        <v>66</v>
      </c>
      <c r="D160" s="61"/>
      <c r="E160" s="57" t="s">
        <v>67</v>
      </c>
      <c r="F160" s="57" t="s">
        <v>68</v>
      </c>
      <c r="G160" s="57" t="s">
        <v>69</v>
      </c>
      <c r="H160" s="57" t="s">
        <v>70</v>
      </c>
      <c r="I160" s="57" t="s">
        <v>671</v>
      </c>
      <c r="J160" s="57" t="s">
        <v>672</v>
      </c>
      <c r="K160" s="57" t="s">
        <v>73</v>
      </c>
      <c r="L160" s="52" t="str">
        <f>HYPERLINK("https://zibs.nl/wiki/Lichaamslengte-v3.1(2017NL)#","")</f>
        <v/>
      </c>
      <c r="M160" s="57"/>
      <c r="N160" s="53" t="s">
        <v>106</v>
      </c>
      <c r="O160" s="54"/>
    </row>
    <row r="161" spans="1:15" ht="15" x14ac:dyDescent="0.25">
      <c r="A161" s="49" t="s">
        <v>657</v>
      </c>
      <c r="B161" s="61" t="s">
        <v>658</v>
      </c>
      <c r="C161" s="61" t="s">
        <v>673</v>
      </c>
      <c r="D161" s="61"/>
      <c r="E161" s="57" t="s">
        <v>352</v>
      </c>
      <c r="F161" s="57" t="s">
        <v>76</v>
      </c>
      <c r="G161" s="57" t="s">
        <v>69</v>
      </c>
      <c r="H161" s="57" t="s">
        <v>70</v>
      </c>
      <c r="I161" s="57" t="s">
        <v>674</v>
      </c>
      <c r="J161" s="57" t="s">
        <v>675</v>
      </c>
      <c r="K161" s="57"/>
      <c r="L161" s="52" t="str">
        <f>HYPERLINK("https://zibs.nl/wiki/Lichaamslengte-v3.1(2017NL)#PositieCodelijst","PositieCodelijst")</f>
        <v>PositieCodelijst</v>
      </c>
      <c r="M161" s="57"/>
      <c r="N161" s="53" t="s">
        <v>106</v>
      </c>
      <c r="O161" s="54"/>
    </row>
    <row r="162" spans="1:15" ht="25.5" x14ac:dyDescent="0.25">
      <c r="A162" s="49" t="s">
        <v>676</v>
      </c>
      <c r="B162" s="49" t="s">
        <v>677</v>
      </c>
      <c r="C162" s="49" t="s">
        <v>676</v>
      </c>
      <c r="D162" s="49"/>
      <c r="E162" s="51" t="s">
        <v>678</v>
      </c>
      <c r="F162" s="51"/>
      <c r="G162" s="51"/>
      <c r="H162" s="51" t="s">
        <v>62</v>
      </c>
      <c r="I162" s="51" t="s">
        <v>679</v>
      </c>
      <c r="J162" s="51" t="s">
        <v>680</v>
      </c>
      <c r="K162" s="51"/>
      <c r="L162" s="52" t="str">
        <f>HYPERLINK("https://zibs.nl/wiki/Medicatieafspraak-v1.0.1(2017NL)#","")</f>
        <v/>
      </c>
      <c r="M162" s="51"/>
      <c r="N162" s="53" t="s">
        <v>106</v>
      </c>
      <c r="O162" s="54"/>
    </row>
    <row r="163" spans="1:15" ht="38.25" x14ac:dyDescent="0.25">
      <c r="A163" s="49" t="s">
        <v>676</v>
      </c>
      <c r="B163" s="61" t="s">
        <v>677</v>
      </c>
      <c r="C163" s="61" t="s">
        <v>681</v>
      </c>
      <c r="D163" s="61"/>
      <c r="E163" s="57" t="s">
        <v>682</v>
      </c>
      <c r="F163" s="57"/>
      <c r="G163" s="57" t="s">
        <v>69</v>
      </c>
      <c r="H163" s="57" t="s">
        <v>399</v>
      </c>
      <c r="I163" s="57" t="s">
        <v>683</v>
      </c>
      <c r="J163" s="57" t="s">
        <v>684</v>
      </c>
      <c r="K163" s="57"/>
      <c r="L163" s="62" t="s">
        <v>402</v>
      </c>
      <c r="M163" s="57"/>
      <c r="N163" s="53" t="s">
        <v>106</v>
      </c>
      <c r="O163" s="54"/>
    </row>
    <row r="164" spans="1:15" ht="89.25" x14ac:dyDescent="0.25">
      <c r="A164" s="49" t="s">
        <v>676</v>
      </c>
      <c r="B164" s="61" t="s">
        <v>677</v>
      </c>
      <c r="C164" s="61" t="s">
        <v>685</v>
      </c>
      <c r="D164" s="61"/>
      <c r="E164" s="57" t="s">
        <v>686</v>
      </c>
      <c r="F164" s="57"/>
      <c r="G164" s="70" t="s">
        <v>69</v>
      </c>
      <c r="H164" s="57" t="s">
        <v>399</v>
      </c>
      <c r="I164" s="57" t="s">
        <v>687</v>
      </c>
      <c r="J164" s="57" t="s">
        <v>688</v>
      </c>
      <c r="K164" s="57"/>
      <c r="L164" s="62" t="s">
        <v>689</v>
      </c>
      <c r="M164" s="57"/>
      <c r="N164" s="53" t="s">
        <v>106</v>
      </c>
      <c r="O164" s="54"/>
    </row>
    <row r="165" spans="1:15" ht="38.25" x14ac:dyDescent="0.25">
      <c r="A165" s="49" t="s">
        <v>676</v>
      </c>
      <c r="B165" s="61" t="s">
        <v>677</v>
      </c>
      <c r="C165" s="61" t="s">
        <v>637</v>
      </c>
      <c r="D165" s="61"/>
      <c r="E165" s="57" t="s">
        <v>639</v>
      </c>
      <c r="F165" s="57"/>
      <c r="G165" s="57" t="s">
        <v>69</v>
      </c>
      <c r="H165" s="57" t="s">
        <v>399</v>
      </c>
      <c r="I165" s="57" t="s">
        <v>690</v>
      </c>
      <c r="J165" s="57" t="s">
        <v>691</v>
      </c>
      <c r="K165" s="57"/>
      <c r="L165" s="62" t="s">
        <v>692</v>
      </c>
      <c r="M165" s="57"/>
      <c r="N165" s="53" t="s">
        <v>106</v>
      </c>
      <c r="O165" s="54"/>
    </row>
    <row r="166" spans="1:15" ht="38.25" x14ac:dyDescent="0.25">
      <c r="A166" s="49" t="s">
        <v>676</v>
      </c>
      <c r="B166" s="61" t="s">
        <v>677</v>
      </c>
      <c r="C166" s="61" t="s">
        <v>657</v>
      </c>
      <c r="D166" s="61"/>
      <c r="E166" s="57" t="s">
        <v>659</v>
      </c>
      <c r="F166" s="57"/>
      <c r="G166" s="57" t="s">
        <v>69</v>
      </c>
      <c r="H166" s="57" t="s">
        <v>399</v>
      </c>
      <c r="I166" s="57" t="s">
        <v>693</v>
      </c>
      <c r="J166" s="57" t="s">
        <v>694</v>
      </c>
      <c r="K166" s="57"/>
      <c r="L166" s="62" t="s">
        <v>695</v>
      </c>
      <c r="M166" s="57"/>
      <c r="N166" s="53" t="s">
        <v>106</v>
      </c>
      <c r="O166" s="54"/>
    </row>
    <row r="167" spans="1:15" ht="38.25" x14ac:dyDescent="0.25">
      <c r="A167" s="49" t="s">
        <v>676</v>
      </c>
      <c r="B167" s="61" t="s">
        <v>677</v>
      </c>
      <c r="C167" s="61" t="s">
        <v>696</v>
      </c>
      <c r="D167" s="61"/>
      <c r="E167" s="57" t="s">
        <v>697</v>
      </c>
      <c r="F167" s="57"/>
      <c r="G167" s="70" t="s">
        <v>77</v>
      </c>
      <c r="H167" s="57" t="s">
        <v>110</v>
      </c>
      <c r="I167" s="57" t="s">
        <v>698</v>
      </c>
      <c r="J167" s="57" t="s">
        <v>699</v>
      </c>
      <c r="K167" s="57"/>
      <c r="L167" s="62" t="s">
        <v>700</v>
      </c>
      <c r="M167" s="57"/>
      <c r="N167" s="53" t="s">
        <v>106</v>
      </c>
      <c r="O167" s="54"/>
    </row>
    <row r="168" spans="1:15" ht="38.25" x14ac:dyDescent="0.25">
      <c r="A168" s="49" t="s">
        <v>676</v>
      </c>
      <c r="B168" s="61" t="s">
        <v>677</v>
      </c>
      <c r="C168" s="61" t="s">
        <v>701</v>
      </c>
      <c r="D168" s="61"/>
      <c r="E168" s="57" t="s">
        <v>702</v>
      </c>
      <c r="F168" s="57"/>
      <c r="G168" s="57" t="s">
        <v>69</v>
      </c>
      <c r="H168" s="57" t="s">
        <v>110</v>
      </c>
      <c r="I168" s="57" t="s">
        <v>703</v>
      </c>
      <c r="J168" s="57" t="s">
        <v>704</v>
      </c>
      <c r="K168" s="57"/>
      <c r="L168" s="62" t="s">
        <v>705</v>
      </c>
      <c r="M168" s="57"/>
      <c r="N168" s="53" t="s">
        <v>106</v>
      </c>
      <c r="O168" s="54"/>
    </row>
    <row r="169" spans="1:15" ht="38.25" x14ac:dyDescent="0.25">
      <c r="A169" s="49" t="s">
        <v>676</v>
      </c>
      <c r="B169" s="61" t="s">
        <v>677</v>
      </c>
      <c r="C169" s="61" t="s">
        <v>706</v>
      </c>
      <c r="D169" s="61"/>
      <c r="E169" s="57" t="s">
        <v>707</v>
      </c>
      <c r="F169" s="57" t="s">
        <v>88</v>
      </c>
      <c r="G169" s="70" t="s">
        <v>77</v>
      </c>
      <c r="H169" s="57" t="s">
        <v>70</v>
      </c>
      <c r="I169" s="57" t="s">
        <v>708</v>
      </c>
      <c r="J169" s="57" t="s">
        <v>709</v>
      </c>
      <c r="K169" s="57"/>
      <c r="L169" s="52" t="str">
        <f>HYPERLINK("https://zibs.nl/wiki/Medicatieafspraak-v1.0.1(2017NL)#","")</f>
        <v/>
      </c>
      <c r="M169" s="57"/>
      <c r="N169" s="53" t="s">
        <v>106</v>
      </c>
      <c r="O169" s="54"/>
    </row>
    <row r="170" spans="1:15" ht="38.25" x14ac:dyDescent="0.25">
      <c r="A170" s="49" t="s">
        <v>676</v>
      </c>
      <c r="B170" s="61" t="s">
        <v>677</v>
      </c>
      <c r="C170" s="61" t="s">
        <v>710</v>
      </c>
      <c r="D170" s="61"/>
      <c r="E170" s="57" t="s">
        <v>711</v>
      </c>
      <c r="F170" s="57"/>
      <c r="G170" s="57" t="s">
        <v>69</v>
      </c>
      <c r="H170" s="57" t="s">
        <v>110</v>
      </c>
      <c r="I170" s="57" t="s">
        <v>712</v>
      </c>
      <c r="J170" s="57" t="s">
        <v>278</v>
      </c>
      <c r="K170" s="57"/>
      <c r="L170" s="62" t="s">
        <v>713</v>
      </c>
      <c r="M170" s="57"/>
      <c r="N170" s="53" t="s">
        <v>106</v>
      </c>
      <c r="O170" s="54"/>
    </row>
    <row r="171" spans="1:15" ht="38.25" x14ac:dyDescent="0.25">
      <c r="A171" s="49" t="s">
        <v>676</v>
      </c>
      <c r="B171" s="61" t="s">
        <v>677</v>
      </c>
      <c r="C171" s="61" t="s">
        <v>714</v>
      </c>
      <c r="D171" s="61"/>
      <c r="E171" s="57" t="s">
        <v>715</v>
      </c>
      <c r="F171" s="57" t="s">
        <v>197</v>
      </c>
      <c r="G171" s="57" t="s">
        <v>69</v>
      </c>
      <c r="H171" s="57" t="s">
        <v>70</v>
      </c>
      <c r="I171" s="57" t="s">
        <v>716</v>
      </c>
      <c r="J171" s="57" t="s">
        <v>717</v>
      </c>
      <c r="K171" s="57"/>
      <c r="L171" s="52" t="str">
        <f>HYPERLINK("https://zibs.nl/wiki/Medicatieafspraak-v1.0.1(2017NL)#","")</f>
        <v/>
      </c>
      <c r="M171" s="57"/>
      <c r="N171" s="53" t="s">
        <v>106</v>
      </c>
      <c r="O171" s="54"/>
    </row>
    <row r="172" spans="1:15" ht="38.25" x14ac:dyDescent="0.25">
      <c r="A172" s="49" t="s">
        <v>676</v>
      </c>
      <c r="B172" s="61" t="s">
        <v>677</v>
      </c>
      <c r="C172" s="61" t="s">
        <v>718</v>
      </c>
      <c r="D172" s="61"/>
      <c r="E172" s="57" t="s">
        <v>719</v>
      </c>
      <c r="F172" s="57" t="s">
        <v>76</v>
      </c>
      <c r="G172" s="57" t="s">
        <v>69</v>
      </c>
      <c r="H172" s="57" t="s">
        <v>70</v>
      </c>
      <c r="I172" s="57" t="s">
        <v>720</v>
      </c>
      <c r="J172" s="57" t="s">
        <v>721</v>
      </c>
      <c r="K172" s="57"/>
      <c r="L172" s="52" t="str">
        <f>HYPERLINK("https://zibs.nl/wiki/Medicatieafspraak-v1.0.1(2017NL)#MedicatieafspraakStopTypeCodelijst","MedicatieafspraakStopTypeCodelijst")</f>
        <v>MedicatieafspraakStopTypeCodelijst</v>
      </c>
      <c r="M172" s="57"/>
      <c r="N172" s="53" t="s">
        <v>106</v>
      </c>
      <c r="O172" s="54"/>
    </row>
    <row r="173" spans="1:15" ht="38.25" x14ac:dyDescent="0.25">
      <c r="A173" s="49" t="s">
        <v>676</v>
      </c>
      <c r="B173" s="61" t="s">
        <v>677</v>
      </c>
      <c r="C173" s="61" t="s">
        <v>722</v>
      </c>
      <c r="D173" s="61"/>
      <c r="E173" s="57" t="s">
        <v>723</v>
      </c>
      <c r="F173" s="57" t="s">
        <v>76</v>
      </c>
      <c r="G173" s="70" t="s">
        <v>69</v>
      </c>
      <c r="H173" s="57" t="s">
        <v>70</v>
      </c>
      <c r="I173" s="57" t="s">
        <v>724</v>
      </c>
      <c r="J173" s="57" t="s">
        <v>725</v>
      </c>
      <c r="K173" s="57"/>
      <c r="L173" s="52" t="str">
        <f>HYPERLINK("https://zibs.nl/wiki/Medicatieafspraak-v1.0.1(2017NL)#RedenMedicatieafspraakCodelijst","RedenMedicatieafspraakCodelijst")</f>
        <v>RedenMedicatieafspraakCodelijst</v>
      </c>
      <c r="M173" s="57"/>
      <c r="N173" s="53" t="s">
        <v>106</v>
      </c>
      <c r="O173" s="54"/>
    </row>
    <row r="174" spans="1:15" ht="51" x14ac:dyDescent="0.25">
      <c r="A174" s="49" t="s">
        <v>676</v>
      </c>
      <c r="B174" s="61" t="s">
        <v>677</v>
      </c>
      <c r="C174" s="61" t="s">
        <v>726</v>
      </c>
      <c r="D174" s="61"/>
      <c r="E174" s="57" t="s">
        <v>727</v>
      </c>
      <c r="F174" s="57" t="s">
        <v>76</v>
      </c>
      <c r="G174" s="57" t="s">
        <v>158</v>
      </c>
      <c r="H174" s="57" t="s">
        <v>70</v>
      </c>
      <c r="I174" s="57" t="s">
        <v>728</v>
      </c>
      <c r="J174" s="57" t="s">
        <v>729</v>
      </c>
      <c r="K174" s="57"/>
      <c r="L174" s="52" t="str">
        <f>HYPERLINK("https://zibs.nl/wiki/Medicatieafspraak-v1.0.1(2017NL)#MedicatieafspraakAanvullendeInformatieCodelijst","MedicatieafspraakAanvullendeInformatieCodelijst")</f>
        <v>MedicatieafspraakAanvullendeInformatieCodelijst</v>
      </c>
      <c r="M174" s="57"/>
      <c r="N174" s="53" t="s">
        <v>106</v>
      </c>
      <c r="O174" s="54"/>
    </row>
    <row r="175" spans="1:15" ht="38.25" x14ac:dyDescent="0.25">
      <c r="A175" s="49" t="s">
        <v>676</v>
      </c>
      <c r="B175" s="61" t="s">
        <v>677</v>
      </c>
      <c r="C175" s="61" t="s">
        <v>66</v>
      </c>
      <c r="D175" s="61"/>
      <c r="E175" s="57" t="s">
        <v>67</v>
      </c>
      <c r="F175" s="57" t="s">
        <v>68</v>
      </c>
      <c r="G175" s="57" t="s">
        <v>69</v>
      </c>
      <c r="H175" s="57" t="s">
        <v>70</v>
      </c>
      <c r="I175" s="57" t="s">
        <v>730</v>
      </c>
      <c r="J175" s="57" t="s">
        <v>731</v>
      </c>
      <c r="K175" s="57" t="s">
        <v>73</v>
      </c>
      <c r="L175" s="52" t="str">
        <f>HYPERLINK("https://zibs.nl/wiki/Medicatieafspraak-v1.0.1(2017NL)#","")</f>
        <v/>
      </c>
      <c r="M175" s="57"/>
      <c r="N175" s="53" t="s">
        <v>106</v>
      </c>
      <c r="O175" s="54"/>
    </row>
    <row r="176" spans="1:15" ht="38.25" x14ac:dyDescent="0.25">
      <c r="A176" s="49" t="s">
        <v>732</v>
      </c>
      <c r="B176" s="49" t="s">
        <v>733</v>
      </c>
      <c r="C176" s="49" t="s">
        <v>732</v>
      </c>
      <c r="D176" s="49"/>
      <c r="E176" s="51" t="s">
        <v>734</v>
      </c>
      <c r="F176" s="51"/>
      <c r="G176" s="51"/>
      <c r="H176" s="51" t="s">
        <v>62</v>
      </c>
      <c r="I176" s="51" t="s">
        <v>735</v>
      </c>
      <c r="J176" s="51" t="s">
        <v>736</v>
      </c>
      <c r="K176" s="51"/>
      <c r="L176" s="52" t="str">
        <f>HYPERLINK("https://zibs.nl/wiki/MedicatieGebruik2-v1.0.1(2017NL)#","")</f>
        <v/>
      </c>
      <c r="M176" s="51"/>
      <c r="N176" s="53" t="s">
        <v>106</v>
      </c>
      <c r="O176" s="54"/>
    </row>
    <row r="177" spans="1:15" ht="38.25" x14ac:dyDescent="0.25">
      <c r="A177" s="49" t="s">
        <v>732</v>
      </c>
      <c r="B177" s="61" t="s">
        <v>733</v>
      </c>
      <c r="C177" s="61" t="s">
        <v>681</v>
      </c>
      <c r="D177" s="61"/>
      <c r="E177" s="57" t="s">
        <v>682</v>
      </c>
      <c r="F177" s="57"/>
      <c r="G177" s="57" t="s">
        <v>69</v>
      </c>
      <c r="H177" s="57" t="s">
        <v>399</v>
      </c>
      <c r="I177" s="57" t="s">
        <v>737</v>
      </c>
      <c r="J177" s="57" t="s">
        <v>738</v>
      </c>
      <c r="K177" s="57"/>
      <c r="L177" s="62" t="s">
        <v>402</v>
      </c>
      <c r="M177" s="57"/>
      <c r="N177" s="53" t="s">
        <v>106</v>
      </c>
      <c r="O177" s="54"/>
    </row>
    <row r="178" spans="1:15" ht="63.75" x14ac:dyDescent="0.25">
      <c r="A178" s="49" t="s">
        <v>732</v>
      </c>
      <c r="B178" s="61" t="s">
        <v>733</v>
      </c>
      <c r="C178" s="61" t="s">
        <v>739</v>
      </c>
      <c r="D178" s="61"/>
      <c r="E178" s="57" t="s">
        <v>740</v>
      </c>
      <c r="F178" s="57"/>
      <c r="G178" s="57" t="s">
        <v>77</v>
      </c>
      <c r="H178" s="57" t="s">
        <v>110</v>
      </c>
      <c r="I178" s="57" t="s">
        <v>741</v>
      </c>
      <c r="J178" s="57" t="s">
        <v>742</v>
      </c>
      <c r="K178" s="57"/>
      <c r="L178" s="62" t="s">
        <v>743</v>
      </c>
      <c r="M178" s="57"/>
      <c r="N178" s="53" t="s">
        <v>106</v>
      </c>
      <c r="O178" s="54"/>
    </row>
    <row r="179" spans="1:15" ht="38.25" x14ac:dyDescent="0.25">
      <c r="A179" s="49" t="s">
        <v>732</v>
      </c>
      <c r="B179" s="61" t="s">
        <v>733</v>
      </c>
      <c r="C179" s="61" t="s">
        <v>701</v>
      </c>
      <c r="D179" s="61"/>
      <c r="E179" s="57" t="s">
        <v>702</v>
      </c>
      <c r="F179" s="57"/>
      <c r="G179" s="57" t="s">
        <v>69</v>
      </c>
      <c r="H179" s="57" t="s">
        <v>110</v>
      </c>
      <c r="I179" s="57" t="s">
        <v>744</v>
      </c>
      <c r="J179" s="57" t="s">
        <v>745</v>
      </c>
      <c r="K179" s="57"/>
      <c r="L179" s="62" t="s">
        <v>705</v>
      </c>
      <c r="M179" s="57"/>
      <c r="N179" s="53" t="s">
        <v>106</v>
      </c>
      <c r="O179" s="54"/>
    </row>
    <row r="180" spans="1:15" ht="38.25" x14ac:dyDescent="0.25">
      <c r="A180" s="49" t="s">
        <v>732</v>
      </c>
      <c r="B180" s="61" t="s">
        <v>733</v>
      </c>
      <c r="C180" s="61" t="s">
        <v>746</v>
      </c>
      <c r="D180" s="61"/>
      <c r="E180" s="57" t="s">
        <v>747</v>
      </c>
      <c r="F180" s="57" t="s">
        <v>88</v>
      </c>
      <c r="G180" s="57" t="s">
        <v>77</v>
      </c>
      <c r="H180" s="57" t="s">
        <v>70</v>
      </c>
      <c r="I180" s="57" t="s">
        <v>748</v>
      </c>
      <c r="J180" s="57" t="s">
        <v>749</v>
      </c>
      <c r="K180" s="57"/>
      <c r="L180" s="52" t="str">
        <f>HYPERLINK("https://zibs.nl/wiki/MedicatieGebruik2-v1.0.1(2017NL)#","")</f>
        <v/>
      </c>
      <c r="M180" s="57"/>
      <c r="N180" s="53" t="s">
        <v>106</v>
      </c>
      <c r="O180" s="54"/>
    </row>
    <row r="181" spans="1:15" ht="38.25" x14ac:dyDescent="0.25">
      <c r="A181" s="49" t="s">
        <v>732</v>
      </c>
      <c r="B181" s="61" t="s">
        <v>733</v>
      </c>
      <c r="C181" s="61" t="s">
        <v>710</v>
      </c>
      <c r="D181" s="61"/>
      <c r="E181" s="57" t="s">
        <v>711</v>
      </c>
      <c r="F181" s="57"/>
      <c r="G181" s="57" t="s">
        <v>69</v>
      </c>
      <c r="H181" s="57" t="s">
        <v>110</v>
      </c>
      <c r="I181" s="57" t="s">
        <v>750</v>
      </c>
      <c r="J181" s="57" t="s">
        <v>278</v>
      </c>
      <c r="K181" s="57"/>
      <c r="L181" s="62" t="s">
        <v>751</v>
      </c>
      <c r="M181" s="57"/>
      <c r="N181" s="53" t="s">
        <v>106</v>
      </c>
      <c r="O181" s="54"/>
    </row>
    <row r="182" spans="1:15" ht="38.25" x14ac:dyDescent="0.25">
      <c r="A182" s="49" t="s">
        <v>732</v>
      </c>
      <c r="B182" s="61" t="s">
        <v>733</v>
      </c>
      <c r="C182" s="61" t="s">
        <v>752</v>
      </c>
      <c r="D182" s="61"/>
      <c r="E182" s="57" t="s">
        <v>753</v>
      </c>
      <c r="F182" s="57" t="s">
        <v>197</v>
      </c>
      <c r="G182" s="57" t="s">
        <v>69</v>
      </c>
      <c r="H182" s="57" t="s">
        <v>70</v>
      </c>
      <c r="I182" s="57" t="s">
        <v>754</v>
      </c>
      <c r="J182" s="57" t="s">
        <v>755</v>
      </c>
      <c r="K182" s="57"/>
      <c r="L182" s="52" t="str">
        <f>HYPERLINK("https://zibs.nl/wiki/MedicatieGebruik2-v1.0.1(2017NL)#","")</f>
        <v/>
      </c>
      <c r="M182" s="57"/>
      <c r="N182" s="53" t="s">
        <v>106</v>
      </c>
      <c r="O182" s="54"/>
    </row>
    <row r="183" spans="1:15" ht="38.25" x14ac:dyDescent="0.25">
      <c r="A183" s="49" t="s">
        <v>732</v>
      </c>
      <c r="B183" s="61" t="s">
        <v>733</v>
      </c>
      <c r="C183" s="61" t="s">
        <v>756</v>
      </c>
      <c r="D183" s="61"/>
      <c r="E183" s="57" t="s">
        <v>757</v>
      </c>
      <c r="F183" s="57" t="s">
        <v>197</v>
      </c>
      <c r="G183" s="57" t="s">
        <v>77</v>
      </c>
      <c r="H183" s="57" t="s">
        <v>70</v>
      </c>
      <c r="I183" s="57" t="s">
        <v>758</v>
      </c>
      <c r="J183" s="57" t="s">
        <v>759</v>
      </c>
      <c r="K183" s="57"/>
      <c r="L183" s="52" t="str">
        <f>HYPERLINK("https://zibs.nl/wiki/MedicatieGebruik2-v1.0.1(2017NL)#","")</f>
        <v/>
      </c>
      <c r="M183" s="57"/>
      <c r="N183" s="53" t="s">
        <v>106</v>
      </c>
      <c r="O183" s="54"/>
    </row>
    <row r="184" spans="1:15" ht="38.25" x14ac:dyDescent="0.25">
      <c r="A184" s="49" t="s">
        <v>732</v>
      </c>
      <c r="B184" s="61" t="s">
        <v>733</v>
      </c>
      <c r="C184" s="61" t="s">
        <v>760</v>
      </c>
      <c r="D184" s="61"/>
      <c r="E184" s="57" t="s">
        <v>761</v>
      </c>
      <c r="F184" s="57" t="s">
        <v>68</v>
      </c>
      <c r="G184" s="57" t="s">
        <v>69</v>
      </c>
      <c r="H184" s="57" t="s">
        <v>70</v>
      </c>
      <c r="I184" s="57" t="s">
        <v>762</v>
      </c>
      <c r="J184" s="57" t="s">
        <v>763</v>
      </c>
      <c r="K184" s="57"/>
      <c r="L184" s="52" t="str">
        <f>HYPERLINK("https://zibs.nl/wiki/MedicatieGebruik2-v1.0.1(2017NL)#","")</f>
        <v/>
      </c>
      <c r="M184" s="57"/>
      <c r="N184" s="53" t="s">
        <v>106</v>
      </c>
      <c r="O184" s="54"/>
    </row>
    <row r="185" spans="1:15" ht="38.25" x14ac:dyDescent="0.25">
      <c r="A185" s="49" t="s">
        <v>732</v>
      </c>
      <c r="B185" s="61" t="s">
        <v>733</v>
      </c>
      <c r="C185" s="61" t="s">
        <v>764</v>
      </c>
      <c r="D185" s="61"/>
      <c r="E185" s="57" t="s">
        <v>765</v>
      </c>
      <c r="F185" s="57" t="s">
        <v>76</v>
      </c>
      <c r="G185" s="57" t="s">
        <v>69</v>
      </c>
      <c r="H185" s="57" t="s">
        <v>70</v>
      </c>
      <c r="I185" s="57" t="s">
        <v>766</v>
      </c>
      <c r="J185" s="57" t="s">
        <v>721</v>
      </c>
      <c r="K185" s="57"/>
      <c r="L185" s="52" t="str">
        <f>HYPERLINK("https://zibs.nl/wiki/MedicatieGebruik2-v1.0.1(2017NL)#MedicatiegebruikStopTypeCodelijst","MedicatiegebruikStopTypeCodelijst")</f>
        <v>MedicatiegebruikStopTypeCodelijst</v>
      </c>
      <c r="M185" s="57"/>
      <c r="N185" s="53" t="s">
        <v>106</v>
      </c>
      <c r="O185" s="54"/>
    </row>
    <row r="186" spans="1:15" ht="38.25" x14ac:dyDescent="0.25">
      <c r="A186" s="49" t="s">
        <v>732</v>
      </c>
      <c r="B186" s="61" t="s">
        <v>733</v>
      </c>
      <c r="C186" s="61" t="s">
        <v>767</v>
      </c>
      <c r="D186" s="61"/>
      <c r="E186" s="57" t="s">
        <v>768</v>
      </c>
      <c r="F186" s="57" t="s">
        <v>76</v>
      </c>
      <c r="G186" s="57" t="s">
        <v>158</v>
      </c>
      <c r="H186" s="57" t="s">
        <v>70</v>
      </c>
      <c r="I186" s="57" t="s">
        <v>769</v>
      </c>
      <c r="J186" s="57" t="s">
        <v>770</v>
      </c>
      <c r="K186" s="57"/>
      <c r="L186" s="52" t="str">
        <f>HYPERLINK("https://zibs.nl/wiki/MedicatieGebruik2-v1.0.1(2017NL)#RedenWijzigenOfStoppenGebruikCodelijst","RedenWijzigenOfStoppenGebruikCodelijst")</f>
        <v>RedenWijzigenOfStoppenGebruikCodelijst</v>
      </c>
      <c r="M186" s="57"/>
      <c r="N186" s="53" t="s">
        <v>106</v>
      </c>
      <c r="O186" s="54"/>
    </row>
    <row r="187" spans="1:15" ht="38.25" x14ac:dyDescent="0.25">
      <c r="A187" s="49" t="s">
        <v>732</v>
      </c>
      <c r="B187" s="61" t="s">
        <v>733</v>
      </c>
      <c r="C187" s="61" t="s">
        <v>66</v>
      </c>
      <c r="D187" s="61"/>
      <c r="E187" s="57" t="s">
        <v>67</v>
      </c>
      <c r="F187" s="57" t="s">
        <v>68</v>
      </c>
      <c r="G187" s="57" t="s">
        <v>69</v>
      </c>
      <c r="H187" s="57" t="s">
        <v>70</v>
      </c>
      <c r="I187" s="57" t="s">
        <v>771</v>
      </c>
      <c r="J187" s="57" t="s">
        <v>772</v>
      </c>
      <c r="K187" s="57" t="s">
        <v>73</v>
      </c>
      <c r="L187" s="52" t="str">
        <f>HYPERLINK("https://zibs.nl/wiki/MedicatieGebruik2-v1.0.1(2017NL)#","")</f>
        <v/>
      </c>
      <c r="M187" s="57"/>
      <c r="N187" s="53" t="s">
        <v>106</v>
      </c>
      <c r="O187" s="54"/>
    </row>
    <row r="188" spans="1:15" ht="25.5" x14ac:dyDescent="0.25">
      <c r="A188" s="49" t="s">
        <v>773</v>
      </c>
      <c r="B188" s="49" t="s">
        <v>774</v>
      </c>
      <c r="C188" s="49" t="s">
        <v>773</v>
      </c>
      <c r="D188" s="49"/>
      <c r="E188" s="51" t="s">
        <v>775</v>
      </c>
      <c r="F188" s="51"/>
      <c r="G188" s="51"/>
      <c r="H188" s="51" t="s">
        <v>62</v>
      </c>
      <c r="I188" s="51" t="s">
        <v>776</v>
      </c>
      <c r="J188" s="51" t="s">
        <v>777</v>
      </c>
      <c r="K188" s="51" t="s">
        <v>778</v>
      </c>
      <c r="L188" s="52" t="str">
        <f>HYPERLINK("https://zibs.nl/wiki/MedischHulpmiddel-v3.1(2017NL)#","")</f>
        <v/>
      </c>
      <c r="M188" s="51"/>
      <c r="N188" s="53" t="s">
        <v>106</v>
      </c>
      <c r="O188" s="54"/>
    </row>
    <row r="189" spans="1:15" ht="25.5" x14ac:dyDescent="0.25">
      <c r="A189" s="49" t="s">
        <v>773</v>
      </c>
      <c r="B189" s="66" t="s">
        <v>774</v>
      </c>
      <c r="C189" s="66" t="s">
        <v>779</v>
      </c>
      <c r="D189" s="66"/>
      <c r="E189" s="60" t="s">
        <v>780</v>
      </c>
      <c r="F189" s="60"/>
      <c r="G189" s="60" t="s">
        <v>77</v>
      </c>
      <c r="H189" s="60" t="s">
        <v>83</v>
      </c>
      <c r="I189" s="60" t="s">
        <v>781</v>
      </c>
      <c r="J189" s="60" t="s">
        <v>782</v>
      </c>
      <c r="K189" s="60" t="s">
        <v>783</v>
      </c>
      <c r="L189" s="52" t="str">
        <f>HYPERLINK("https://zibs.nl/wiki/MedischHulpmiddel-v3.1(2017NL)#","")</f>
        <v/>
      </c>
      <c r="M189" s="60"/>
      <c r="N189" s="53" t="s">
        <v>106</v>
      </c>
      <c r="O189" s="54"/>
    </row>
    <row r="190" spans="1:15" ht="114.75" x14ac:dyDescent="0.25">
      <c r="A190" s="49" t="s">
        <v>773</v>
      </c>
      <c r="B190" s="67" t="s">
        <v>774</v>
      </c>
      <c r="C190" s="67" t="s">
        <v>784</v>
      </c>
      <c r="D190" s="67"/>
      <c r="E190" s="57" t="s">
        <v>785</v>
      </c>
      <c r="F190" s="57" t="s">
        <v>76</v>
      </c>
      <c r="G190" s="57" t="s">
        <v>69</v>
      </c>
      <c r="H190" s="57" t="s">
        <v>70</v>
      </c>
      <c r="I190" s="57" t="s">
        <v>786</v>
      </c>
      <c r="J190" s="57" t="s">
        <v>787</v>
      </c>
      <c r="K190" s="57"/>
      <c r="L190" s="52" t="str">
        <f>HYPERLINK("https://zibs.nl/wiki/MedischHulpmiddel-v3.1(2017NL)#GTINProductIDCodelijst","GTINProductIDCodelijst")</f>
        <v>GTINProductIDCodelijst</v>
      </c>
      <c r="M190" s="57"/>
      <c r="N190" s="53" t="s">
        <v>106</v>
      </c>
      <c r="O190" s="54"/>
    </row>
    <row r="191" spans="1:15" ht="15" x14ac:dyDescent="0.25">
      <c r="A191" s="69" t="s">
        <v>773</v>
      </c>
      <c r="B191" s="69" t="s">
        <v>788</v>
      </c>
      <c r="C191" s="69"/>
      <c r="D191" s="69"/>
      <c r="E191" s="57"/>
      <c r="F191" s="57"/>
      <c r="G191" s="57"/>
      <c r="H191" s="57"/>
      <c r="I191" s="57"/>
      <c r="J191" s="57"/>
      <c r="K191" s="57"/>
      <c r="L191" s="52" t="str">
        <f>HYPERLINK("https://zibs.nl/wiki/nl.zorg.MedischHulpmiddel-v3.1(2017NL)#HIBCProductIDCodelijst","HIBCProductIDCodelijst")</f>
        <v>HIBCProductIDCodelijst</v>
      </c>
      <c r="M191" s="57"/>
      <c r="N191" s="53"/>
      <c r="O191" s="54"/>
    </row>
    <row r="192" spans="1:15" ht="15" x14ac:dyDescent="0.25">
      <c r="A192" s="49" t="s">
        <v>773</v>
      </c>
      <c r="B192" s="61" t="s">
        <v>774</v>
      </c>
      <c r="C192" s="61" t="s">
        <v>789</v>
      </c>
      <c r="D192" s="61"/>
      <c r="E192" s="57" t="s">
        <v>790</v>
      </c>
      <c r="F192" s="57" t="s">
        <v>76</v>
      </c>
      <c r="G192" s="57" t="s">
        <v>69</v>
      </c>
      <c r="H192" s="57" t="s">
        <v>70</v>
      </c>
      <c r="I192" s="57" t="s">
        <v>791</v>
      </c>
      <c r="J192" s="57" t="s">
        <v>792</v>
      </c>
      <c r="K192" s="57"/>
      <c r="L192" s="52" t="str">
        <f>HYPERLINK("https://zibs.nl/wiki/MedischHulpmiddel-v3.1(2017NL)#ProductTypeCodelijst","ProductTypeCodelijst")</f>
        <v>ProductTypeCodelijst</v>
      </c>
      <c r="M192" s="57"/>
      <c r="N192" s="53" t="s">
        <v>106</v>
      </c>
      <c r="O192" s="54"/>
    </row>
    <row r="193" spans="1:15" ht="25.5" x14ac:dyDescent="0.25">
      <c r="A193" s="49" t="s">
        <v>773</v>
      </c>
      <c r="B193" s="61" t="s">
        <v>774</v>
      </c>
      <c r="C193" s="61" t="s">
        <v>793</v>
      </c>
      <c r="D193" s="61"/>
      <c r="E193" s="57" t="s">
        <v>794</v>
      </c>
      <c r="F193" s="57" t="s">
        <v>68</v>
      </c>
      <c r="G193" s="57" t="s">
        <v>69</v>
      </c>
      <c r="H193" s="57" t="s">
        <v>70</v>
      </c>
      <c r="I193" s="57" t="s">
        <v>795</v>
      </c>
      <c r="J193" s="57" t="s">
        <v>796</v>
      </c>
      <c r="K193" s="57"/>
      <c r="L193" s="52" t="str">
        <f>HYPERLINK("https://zibs.nl/wiki/MedischHulpmiddel-v3.1(2017NL)#","")</f>
        <v/>
      </c>
      <c r="M193" s="57"/>
      <c r="N193" s="53" t="s">
        <v>106</v>
      </c>
      <c r="O193" s="54"/>
    </row>
    <row r="194" spans="1:15" ht="25.5" x14ac:dyDescent="0.25">
      <c r="A194" s="49" t="s">
        <v>773</v>
      </c>
      <c r="B194" s="61" t="s">
        <v>774</v>
      </c>
      <c r="C194" s="61" t="s">
        <v>222</v>
      </c>
      <c r="D194" s="61"/>
      <c r="E194" s="57" t="s">
        <v>87</v>
      </c>
      <c r="F194" s="57" t="s">
        <v>88</v>
      </c>
      <c r="G194" s="57" t="s">
        <v>69</v>
      </c>
      <c r="H194" s="57" t="s">
        <v>70</v>
      </c>
      <c r="I194" s="57" t="s">
        <v>797</v>
      </c>
      <c r="J194" s="57" t="s">
        <v>798</v>
      </c>
      <c r="K194" s="57"/>
      <c r="L194" s="52" t="str">
        <f>HYPERLINK("https://zibs.nl/wiki/MedischHulpmiddel-v3.1(2017NL)#","")</f>
        <v/>
      </c>
      <c r="M194" s="57"/>
      <c r="N194" s="53" t="s">
        <v>106</v>
      </c>
      <c r="O194" s="54"/>
    </row>
    <row r="195" spans="1:15" ht="25.5" x14ac:dyDescent="0.25">
      <c r="A195" s="49" t="s">
        <v>773</v>
      </c>
      <c r="B195" s="61" t="s">
        <v>774</v>
      </c>
      <c r="C195" s="61" t="s">
        <v>799</v>
      </c>
      <c r="D195" s="61"/>
      <c r="E195" s="57" t="s">
        <v>800</v>
      </c>
      <c r="F195" s="57"/>
      <c r="G195" s="57" t="s">
        <v>158</v>
      </c>
      <c r="H195" s="57" t="s">
        <v>399</v>
      </c>
      <c r="I195" s="57" t="s">
        <v>801</v>
      </c>
      <c r="J195" s="57" t="s">
        <v>802</v>
      </c>
      <c r="K195" s="57"/>
      <c r="L195" s="62" t="s">
        <v>113</v>
      </c>
      <c r="M195" s="57"/>
      <c r="N195" s="53" t="s">
        <v>106</v>
      </c>
      <c r="O195" s="54"/>
    </row>
    <row r="196" spans="1:15" ht="25.5" x14ac:dyDescent="0.25">
      <c r="A196" s="49" t="s">
        <v>773</v>
      </c>
      <c r="B196" s="61" t="s">
        <v>774</v>
      </c>
      <c r="C196" s="61" t="s">
        <v>66</v>
      </c>
      <c r="D196" s="61"/>
      <c r="E196" s="57" t="s">
        <v>67</v>
      </c>
      <c r="F196" s="57" t="s">
        <v>68</v>
      </c>
      <c r="G196" s="57" t="s">
        <v>69</v>
      </c>
      <c r="H196" s="57" t="s">
        <v>70</v>
      </c>
      <c r="I196" s="57" t="s">
        <v>803</v>
      </c>
      <c r="J196" s="57" t="s">
        <v>804</v>
      </c>
      <c r="K196" s="57" t="s">
        <v>73</v>
      </c>
      <c r="L196" s="52" t="str">
        <f>HYPERLINK("https://zibs.nl/wiki/MedischHulpmiddel-v3.1(2017NL)#","")</f>
        <v/>
      </c>
      <c r="M196" s="57"/>
      <c r="N196" s="53" t="s">
        <v>106</v>
      </c>
      <c r="O196" s="54"/>
    </row>
    <row r="197" spans="1:15" ht="25.5" x14ac:dyDescent="0.25">
      <c r="A197" s="49" t="s">
        <v>773</v>
      </c>
      <c r="B197" s="61" t="s">
        <v>774</v>
      </c>
      <c r="C197" s="61" t="s">
        <v>543</v>
      </c>
      <c r="D197" s="61"/>
      <c r="E197" s="57" t="s">
        <v>544</v>
      </c>
      <c r="F197" s="57" t="s">
        <v>76</v>
      </c>
      <c r="G197" s="57" t="s">
        <v>69</v>
      </c>
      <c r="H197" s="57" t="s">
        <v>70</v>
      </c>
      <c r="I197" s="57" t="s">
        <v>805</v>
      </c>
      <c r="J197" s="57" t="s">
        <v>806</v>
      </c>
      <c r="K197" s="57" t="s">
        <v>807</v>
      </c>
      <c r="L197" s="52" t="str">
        <f>HYPERLINK("https://zibs.nl/wiki/MedischHulpmiddel-v3.1(2017NL)#HulpmiddelAnatomischeLocatieCodelijst","HulpmiddelAnatomischeLocatieCodelijst")</f>
        <v>HulpmiddelAnatomischeLocatieCodelijst</v>
      </c>
      <c r="M197" s="57"/>
      <c r="N197" s="53" t="s">
        <v>106</v>
      </c>
      <c r="O197" s="54"/>
    </row>
    <row r="198" spans="1:15" ht="25.5" x14ac:dyDescent="0.25">
      <c r="A198" s="49" t="s">
        <v>773</v>
      </c>
      <c r="B198" s="61" t="s">
        <v>774</v>
      </c>
      <c r="C198" s="61" t="s">
        <v>548</v>
      </c>
      <c r="D198" s="61"/>
      <c r="E198" s="57" t="s">
        <v>549</v>
      </c>
      <c r="F198" s="57" t="s">
        <v>76</v>
      </c>
      <c r="G198" s="57" t="s">
        <v>69</v>
      </c>
      <c r="H198" s="57" t="s">
        <v>70</v>
      </c>
      <c r="I198" s="57" t="s">
        <v>808</v>
      </c>
      <c r="J198" s="57" t="s">
        <v>551</v>
      </c>
      <c r="K198" s="57" t="s">
        <v>552</v>
      </c>
      <c r="L198" s="52" t="str">
        <f>HYPERLINK("https://zibs.nl/wiki/MedischHulpmiddel-v3.1(2017NL)#MedischHulpmiddelLateraliteitCodelijst","MedischHulpmiddelLateraliteitCodelijst")</f>
        <v>MedischHulpmiddelLateraliteitCodelijst</v>
      </c>
      <c r="M198" s="57"/>
      <c r="N198" s="53" t="s">
        <v>106</v>
      </c>
      <c r="O198" s="54"/>
    </row>
    <row r="199" spans="1:15" ht="38.25" x14ac:dyDescent="0.25">
      <c r="A199" s="49" t="s">
        <v>773</v>
      </c>
      <c r="B199" s="61" t="s">
        <v>774</v>
      </c>
      <c r="C199" s="61" t="s">
        <v>403</v>
      </c>
      <c r="D199" s="61"/>
      <c r="E199" s="57" t="s">
        <v>404</v>
      </c>
      <c r="F199" s="57"/>
      <c r="G199" s="57" t="s">
        <v>69</v>
      </c>
      <c r="H199" s="57" t="s">
        <v>399</v>
      </c>
      <c r="I199" s="57" t="s">
        <v>809</v>
      </c>
      <c r="J199" s="57" t="s">
        <v>810</v>
      </c>
      <c r="K199" s="57"/>
      <c r="L199" s="62" t="s">
        <v>811</v>
      </c>
      <c r="M199" s="57"/>
      <c r="N199" s="53" t="s">
        <v>106</v>
      </c>
      <c r="O199" s="54"/>
    </row>
    <row r="200" spans="1:15" ht="25.5" x14ac:dyDescent="0.25">
      <c r="A200" s="49" t="s">
        <v>773</v>
      </c>
      <c r="B200" s="61" t="s">
        <v>774</v>
      </c>
      <c r="C200" s="61" t="s">
        <v>812</v>
      </c>
      <c r="D200" s="61"/>
      <c r="E200" s="57" t="s">
        <v>813</v>
      </c>
      <c r="F200" s="57"/>
      <c r="G200" s="57" t="s">
        <v>69</v>
      </c>
      <c r="H200" s="57" t="s">
        <v>399</v>
      </c>
      <c r="I200" s="57" t="s">
        <v>814</v>
      </c>
      <c r="J200" s="57" t="s">
        <v>815</v>
      </c>
      <c r="K200" s="57"/>
      <c r="L200" s="62" t="s">
        <v>816</v>
      </c>
      <c r="M200" s="57"/>
      <c r="N200" s="53" t="s">
        <v>106</v>
      </c>
      <c r="O200" s="54"/>
    </row>
    <row r="201" spans="1:15" ht="25.5" x14ac:dyDescent="0.25">
      <c r="A201" s="49" t="s">
        <v>817</v>
      </c>
      <c r="B201" s="49" t="s">
        <v>818</v>
      </c>
      <c r="C201" s="49" t="s">
        <v>817</v>
      </c>
      <c r="D201" s="49"/>
      <c r="E201" s="51" t="s">
        <v>819</v>
      </c>
      <c r="F201" s="51"/>
      <c r="G201" s="51"/>
      <c r="H201" s="51" t="s">
        <v>62</v>
      </c>
      <c r="I201" s="51" t="s">
        <v>820</v>
      </c>
      <c r="J201" s="51" t="s">
        <v>821</v>
      </c>
      <c r="K201" s="51"/>
      <c r="L201" s="52" t="str">
        <f>HYPERLINK("https://zibs.nl/wiki/OverdrachtGeplandeZorgActiviteit-v3.1(2017NL)#","")</f>
        <v/>
      </c>
      <c r="M201" s="51"/>
      <c r="N201" s="53" t="s">
        <v>106</v>
      </c>
      <c r="O201" s="54"/>
    </row>
    <row r="202" spans="1:15" ht="15" x14ac:dyDescent="0.25">
      <c r="A202" s="49" t="s">
        <v>817</v>
      </c>
      <c r="B202" s="61" t="s">
        <v>818</v>
      </c>
      <c r="C202" s="61" t="s">
        <v>822</v>
      </c>
      <c r="D202" s="61"/>
      <c r="E202" s="57" t="s">
        <v>823</v>
      </c>
      <c r="F202" s="57" t="s">
        <v>76</v>
      </c>
      <c r="G202" s="57" t="s">
        <v>69</v>
      </c>
      <c r="H202" s="57" t="s">
        <v>70</v>
      </c>
      <c r="I202" s="57" t="s">
        <v>824</v>
      </c>
      <c r="J202" s="57" t="s">
        <v>825</v>
      </c>
      <c r="K202" s="57"/>
      <c r="L202" s="52" t="str">
        <f>HYPERLINK("https://zibs.nl/wiki/OverdrachtGeplandeZorgActiviteit-v3.1(2017NL)#OrderStatusCodelijst","OrderStatusCodelijst")</f>
        <v>OrderStatusCodelijst</v>
      </c>
      <c r="M202" s="57"/>
      <c r="N202" s="53" t="s">
        <v>106</v>
      </c>
      <c r="O202" s="54"/>
    </row>
    <row r="203" spans="1:15" ht="25.5" x14ac:dyDescent="0.25">
      <c r="A203" s="49" t="s">
        <v>817</v>
      </c>
      <c r="B203" s="61" t="s">
        <v>818</v>
      </c>
      <c r="C203" s="61" t="s">
        <v>222</v>
      </c>
      <c r="D203" s="61"/>
      <c r="E203" s="57" t="s">
        <v>87</v>
      </c>
      <c r="F203" s="57" t="s">
        <v>88</v>
      </c>
      <c r="G203" s="57" t="s">
        <v>69</v>
      </c>
      <c r="H203" s="57" t="s">
        <v>70</v>
      </c>
      <c r="I203" s="57" t="s">
        <v>826</v>
      </c>
      <c r="J203" s="57" t="s">
        <v>827</v>
      </c>
      <c r="K203" s="57"/>
      <c r="L203" s="52" t="str">
        <f>HYPERLINK("https://zibs.nl/wiki/OverdrachtGeplandeZorgActiviteit-v3.1(2017NL)#","")</f>
        <v/>
      </c>
      <c r="M203" s="57"/>
      <c r="N203" s="53" t="s">
        <v>106</v>
      </c>
      <c r="O203" s="54"/>
    </row>
    <row r="204" spans="1:15" ht="25.5" x14ac:dyDescent="0.25">
      <c r="A204" s="49" t="s">
        <v>817</v>
      </c>
      <c r="B204" s="61" t="s">
        <v>818</v>
      </c>
      <c r="C204" s="61" t="s">
        <v>225</v>
      </c>
      <c r="D204" s="61"/>
      <c r="E204" s="57" t="s">
        <v>226</v>
      </c>
      <c r="F204" s="57" t="s">
        <v>88</v>
      </c>
      <c r="G204" s="57" t="s">
        <v>69</v>
      </c>
      <c r="H204" s="57" t="s">
        <v>70</v>
      </c>
      <c r="I204" s="57" t="s">
        <v>828</v>
      </c>
      <c r="J204" s="57" t="s">
        <v>829</v>
      </c>
      <c r="K204" s="57"/>
      <c r="L204" s="52" t="str">
        <f>HYPERLINK("https://zibs.nl/wiki/OverdrachtGeplandeZorgActiviteit-v3.1(2017NL)#","")</f>
        <v/>
      </c>
      <c r="M204" s="57"/>
      <c r="N204" s="53" t="s">
        <v>106</v>
      </c>
      <c r="O204" s="54"/>
    </row>
    <row r="205" spans="1:15" ht="15" x14ac:dyDescent="0.25">
      <c r="A205" s="49" t="s">
        <v>817</v>
      </c>
      <c r="B205" s="61" t="s">
        <v>818</v>
      </c>
      <c r="C205" s="61" t="s">
        <v>830</v>
      </c>
      <c r="D205" s="61"/>
      <c r="E205" s="57" t="s">
        <v>831</v>
      </c>
      <c r="F205" s="57" t="s">
        <v>76</v>
      </c>
      <c r="G205" s="57" t="s">
        <v>77</v>
      </c>
      <c r="H205" s="57" t="s">
        <v>70</v>
      </c>
      <c r="I205" s="57" t="s">
        <v>832</v>
      </c>
      <c r="J205" s="57" t="s">
        <v>833</v>
      </c>
      <c r="K205" s="57"/>
      <c r="L205" s="52" t="str">
        <f>HYPERLINK("https://zibs.nl/wiki/OverdrachtGeplandeZorgActiviteit-v3.1(2017NL)#OrderTypeCodelijst","OrderTypeCodelijst")</f>
        <v>OrderTypeCodelijst</v>
      </c>
      <c r="M205" s="57"/>
      <c r="N205" s="53" t="s">
        <v>106</v>
      </c>
      <c r="O205" s="54"/>
    </row>
    <row r="206" spans="1:15" ht="15" x14ac:dyDescent="0.25">
      <c r="A206" s="49" t="s">
        <v>817</v>
      </c>
      <c r="B206" s="61" t="s">
        <v>818</v>
      </c>
      <c r="C206" s="61" t="s">
        <v>834</v>
      </c>
      <c r="D206" s="61"/>
      <c r="E206" s="57" t="s">
        <v>835</v>
      </c>
      <c r="F206" s="57" t="s">
        <v>68</v>
      </c>
      <c r="G206" s="57" t="s">
        <v>109</v>
      </c>
      <c r="H206" s="57" t="s">
        <v>70</v>
      </c>
      <c r="I206" s="57" t="s">
        <v>836</v>
      </c>
      <c r="J206" s="57" t="s">
        <v>837</v>
      </c>
      <c r="K206" s="57"/>
      <c r="L206" s="52" t="str">
        <f>HYPERLINK("https://zibs.nl/wiki/OverdrachtGeplandeZorgActiviteit-v3.1(2017NL)#","")</f>
        <v/>
      </c>
      <c r="M206" s="57"/>
      <c r="N206" s="53" t="s">
        <v>106</v>
      </c>
      <c r="O206" s="54"/>
    </row>
    <row r="207" spans="1:15" ht="38.25" x14ac:dyDescent="0.25">
      <c r="A207" s="49" t="s">
        <v>817</v>
      </c>
      <c r="B207" s="61" t="s">
        <v>818</v>
      </c>
      <c r="C207" s="61" t="s">
        <v>838</v>
      </c>
      <c r="D207" s="61"/>
      <c r="E207" s="57" t="s">
        <v>839</v>
      </c>
      <c r="F207" s="57"/>
      <c r="G207" s="57" t="s">
        <v>109</v>
      </c>
      <c r="H207" s="57" t="s">
        <v>110</v>
      </c>
      <c r="I207" s="57" t="s">
        <v>840</v>
      </c>
      <c r="J207" s="57" t="s">
        <v>841</v>
      </c>
      <c r="K207" s="57"/>
      <c r="L207" s="62" t="s">
        <v>842</v>
      </c>
      <c r="M207" s="57"/>
      <c r="N207" s="53" t="s">
        <v>106</v>
      </c>
      <c r="O207" s="54"/>
    </row>
    <row r="208" spans="1:15" ht="25.5" x14ac:dyDescent="0.25">
      <c r="A208" s="49" t="s">
        <v>817</v>
      </c>
      <c r="B208" s="61" t="s">
        <v>818</v>
      </c>
      <c r="C208" s="61" t="s">
        <v>19</v>
      </c>
      <c r="D208" s="61"/>
      <c r="E208" s="57" t="s">
        <v>419</v>
      </c>
      <c r="F208" s="57"/>
      <c r="G208" s="57" t="s">
        <v>109</v>
      </c>
      <c r="H208" s="57" t="s">
        <v>110</v>
      </c>
      <c r="I208" s="57" t="s">
        <v>843</v>
      </c>
      <c r="J208" s="57" t="s">
        <v>844</v>
      </c>
      <c r="K208" s="57"/>
      <c r="L208" s="62" t="s">
        <v>422</v>
      </c>
      <c r="M208" s="57"/>
      <c r="N208" s="53" t="s">
        <v>106</v>
      </c>
      <c r="O208" s="54"/>
    </row>
    <row r="209" spans="1:15" ht="25.5" x14ac:dyDescent="0.25">
      <c r="A209" s="49" t="s">
        <v>817</v>
      </c>
      <c r="B209" s="61" t="s">
        <v>818</v>
      </c>
      <c r="C209" s="61" t="s">
        <v>845</v>
      </c>
      <c r="D209" s="61"/>
      <c r="E209" s="57" t="s">
        <v>846</v>
      </c>
      <c r="F209" s="57"/>
      <c r="G209" s="57" t="s">
        <v>109</v>
      </c>
      <c r="H209" s="57" t="s">
        <v>110</v>
      </c>
      <c r="I209" s="57" t="s">
        <v>847</v>
      </c>
      <c r="J209" s="57" t="s">
        <v>848</v>
      </c>
      <c r="K209" s="57"/>
      <c r="L209" s="62" t="s">
        <v>849</v>
      </c>
      <c r="M209" s="57"/>
      <c r="N209" s="53" t="s">
        <v>106</v>
      </c>
      <c r="O209" s="54"/>
    </row>
    <row r="210" spans="1:15" ht="25.5" x14ac:dyDescent="0.25">
      <c r="A210" s="49" t="s">
        <v>817</v>
      </c>
      <c r="B210" s="61" t="s">
        <v>818</v>
      </c>
      <c r="C210" s="61" t="s">
        <v>850</v>
      </c>
      <c r="D210" s="61"/>
      <c r="E210" s="57" t="s">
        <v>851</v>
      </c>
      <c r="F210" s="57"/>
      <c r="G210" s="57" t="s">
        <v>109</v>
      </c>
      <c r="H210" s="57" t="s">
        <v>110</v>
      </c>
      <c r="I210" s="57" t="s">
        <v>852</v>
      </c>
      <c r="J210" s="57" t="s">
        <v>853</v>
      </c>
      <c r="K210" s="57"/>
      <c r="L210" s="62" t="s">
        <v>854</v>
      </c>
      <c r="M210" s="57"/>
      <c r="N210" s="53" t="s">
        <v>106</v>
      </c>
      <c r="O210" s="54"/>
    </row>
    <row r="211" spans="1:15" ht="25.5" x14ac:dyDescent="0.25">
      <c r="A211" s="49" t="s">
        <v>817</v>
      </c>
      <c r="B211" s="61" t="s">
        <v>818</v>
      </c>
      <c r="C211" s="61" t="s">
        <v>855</v>
      </c>
      <c r="D211" s="61"/>
      <c r="E211" s="57" t="s">
        <v>856</v>
      </c>
      <c r="F211" s="57"/>
      <c r="G211" s="57" t="s">
        <v>109</v>
      </c>
      <c r="H211" s="57" t="s">
        <v>110</v>
      </c>
      <c r="I211" s="57" t="s">
        <v>857</v>
      </c>
      <c r="J211" s="57" t="s">
        <v>858</v>
      </c>
      <c r="K211" s="57"/>
      <c r="L211" s="62" t="s">
        <v>859</v>
      </c>
      <c r="M211" s="57"/>
      <c r="N211" s="53" t="s">
        <v>106</v>
      </c>
      <c r="O211" s="54"/>
    </row>
    <row r="212" spans="1:15" ht="25.5" x14ac:dyDescent="0.25">
      <c r="A212" s="49" t="s">
        <v>817</v>
      </c>
      <c r="B212" s="61" t="s">
        <v>818</v>
      </c>
      <c r="C212" s="61" t="s">
        <v>773</v>
      </c>
      <c r="D212" s="61"/>
      <c r="E212" s="57" t="s">
        <v>775</v>
      </c>
      <c r="F212" s="57"/>
      <c r="G212" s="57" t="s">
        <v>109</v>
      </c>
      <c r="H212" s="57" t="s">
        <v>110</v>
      </c>
      <c r="I212" s="57" t="s">
        <v>860</v>
      </c>
      <c r="J212" s="57" t="s">
        <v>861</v>
      </c>
      <c r="K212" s="57"/>
      <c r="L212" s="62" t="s">
        <v>488</v>
      </c>
      <c r="M212" s="57"/>
      <c r="N212" s="53" t="s">
        <v>106</v>
      </c>
      <c r="O212" s="54"/>
    </row>
    <row r="213" spans="1:15" ht="15" x14ac:dyDescent="0.25">
      <c r="A213" s="71" t="s">
        <v>18</v>
      </c>
      <c r="B213" s="49" t="s">
        <v>862</v>
      </c>
      <c r="C213" s="71" t="s">
        <v>18</v>
      </c>
      <c r="D213" s="71"/>
      <c r="E213" s="51" t="s">
        <v>863</v>
      </c>
      <c r="F213" s="51"/>
      <c r="G213" s="51"/>
      <c r="H213" s="51" t="s">
        <v>62</v>
      </c>
      <c r="I213" s="51" t="s">
        <v>864</v>
      </c>
      <c r="J213" s="51" t="s">
        <v>865</v>
      </c>
      <c r="K213" s="51"/>
      <c r="L213" s="52" t="str">
        <f>HYPERLINK("https://zibs.nl/wiki/Patient-v3.1(2017NL)#","")</f>
        <v/>
      </c>
      <c r="M213" s="51"/>
      <c r="N213" s="53" t="s">
        <v>106</v>
      </c>
      <c r="O213" s="54"/>
    </row>
    <row r="214" spans="1:15" ht="25.5" x14ac:dyDescent="0.25">
      <c r="A214" s="71" t="s">
        <v>18</v>
      </c>
      <c r="B214" s="61" t="s">
        <v>862</v>
      </c>
      <c r="C214" s="61" t="s">
        <v>369</v>
      </c>
      <c r="D214" s="61"/>
      <c r="E214" s="57" t="s">
        <v>370</v>
      </c>
      <c r="F214" s="57"/>
      <c r="G214" s="57" t="s">
        <v>77</v>
      </c>
      <c r="H214" s="57" t="s">
        <v>110</v>
      </c>
      <c r="I214" s="57" t="s">
        <v>866</v>
      </c>
      <c r="J214" s="57" t="s">
        <v>278</v>
      </c>
      <c r="K214" s="57"/>
      <c r="L214" s="62" t="s">
        <v>867</v>
      </c>
      <c r="M214" s="57"/>
      <c r="N214" s="53" t="s">
        <v>106</v>
      </c>
      <c r="O214" s="54"/>
    </row>
    <row r="215" spans="1:15" ht="25.5" x14ac:dyDescent="0.25">
      <c r="A215" s="71" t="s">
        <v>18</v>
      </c>
      <c r="B215" s="61" t="s">
        <v>862</v>
      </c>
      <c r="C215" s="61" t="s">
        <v>295</v>
      </c>
      <c r="D215" s="61"/>
      <c r="E215" s="57" t="s">
        <v>296</v>
      </c>
      <c r="F215" s="57"/>
      <c r="G215" s="57" t="s">
        <v>158</v>
      </c>
      <c r="H215" s="57" t="s">
        <v>110</v>
      </c>
      <c r="I215" s="57" t="s">
        <v>868</v>
      </c>
      <c r="J215" s="57" t="s">
        <v>278</v>
      </c>
      <c r="K215" s="57"/>
      <c r="L215" s="62" t="s">
        <v>869</v>
      </c>
      <c r="M215" s="57"/>
      <c r="N215" s="53" t="s">
        <v>106</v>
      </c>
      <c r="O215" s="54"/>
    </row>
    <row r="216" spans="1:15" ht="25.5" x14ac:dyDescent="0.25">
      <c r="A216" s="71" t="s">
        <v>18</v>
      </c>
      <c r="B216" s="61" t="s">
        <v>862</v>
      </c>
      <c r="C216" s="61" t="s">
        <v>300</v>
      </c>
      <c r="D216" s="61"/>
      <c r="E216" s="57" t="s">
        <v>301</v>
      </c>
      <c r="F216" s="57"/>
      <c r="G216" s="57" t="s">
        <v>69</v>
      </c>
      <c r="H216" s="57" t="s">
        <v>110</v>
      </c>
      <c r="I216" s="57" t="s">
        <v>870</v>
      </c>
      <c r="J216" s="57" t="s">
        <v>278</v>
      </c>
      <c r="K216" s="57"/>
      <c r="L216" s="62" t="s">
        <v>871</v>
      </c>
      <c r="M216" s="57"/>
      <c r="N216" s="53" t="s">
        <v>106</v>
      </c>
      <c r="O216" s="54"/>
    </row>
    <row r="217" spans="1:15" ht="38.25" x14ac:dyDescent="0.25">
      <c r="A217" s="71" t="s">
        <v>18</v>
      </c>
      <c r="B217" s="61" t="s">
        <v>862</v>
      </c>
      <c r="C217" s="61" t="s">
        <v>872</v>
      </c>
      <c r="D217" s="61"/>
      <c r="E217" s="57" t="s">
        <v>873</v>
      </c>
      <c r="F217" s="57" t="s">
        <v>285</v>
      </c>
      <c r="G217" s="57" t="s">
        <v>158</v>
      </c>
      <c r="H217" s="57" t="s">
        <v>70</v>
      </c>
      <c r="I217" s="57" t="s">
        <v>874</v>
      </c>
      <c r="J217" s="57" t="s">
        <v>875</v>
      </c>
      <c r="K217" s="57"/>
      <c r="L217" s="52" t="str">
        <f>HYPERLINK("https://zibs.nl/wiki/Patient-v3.1(2017NL)#Burgerservicenummer","Burgerservicenummer")</f>
        <v>Burgerservicenummer</v>
      </c>
      <c r="M217" s="57"/>
      <c r="N217" s="53" t="s">
        <v>106</v>
      </c>
      <c r="O217" s="54"/>
    </row>
    <row r="218" spans="1:15" ht="15" x14ac:dyDescent="0.25">
      <c r="A218" s="71" t="s">
        <v>18</v>
      </c>
      <c r="B218" s="61" t="s">
        <v>862</v>
      </c>
      <c r="C218" s="61" t="s">
        <v>876</v>
      </c>
      <c r="D218" s="61"/>
      <c r="E218" s="57" t="s">
        <v>877</v>
      </c>
      <c r="F218" s="57" t="s">
        <v>88</v>
      </c>
      <c r="G218" s="57" t="s">
        <v>77</v>
      </c>
      <c r="H218" s="57" t="s">
        <v>70</v>
      </c>
      <c r="I218" s="57" t="s">
        <v>878</v>
      </c>
      <c r="J218" s="57" t="s">
        <v>879</v>
      </c>
      <c r="K218" s="57" t="s">
        <v>880</v>
      </c>
      <c r="L218" s="52" t="str">
        <f>HYPERLINK("https://zibs.nl/wiki/Patient-v3.1(2017NL)#","")</f>
        <v/>
      </c>
      <c r="M218" s="57"/>
      <c r="N218" s="53" t="s">
        <v>106</v>
      </c>
      <c r="O218" s="54"/>
    </row>
    <row r="219" spans="1:15" ht="15" x14ac:dyDescent="0.25">
      <c r="A219" s="71" t="s">
        <v>18</v>
      </c>
      <c r="B219" s="61" t="s">
        <v>862</v>
      </c>
      <c r="C219" s="61" t="s">
        <v>881</v>
      </c>
      <c r="D219" s="61"/>
      <c r="E219" s="57" t="s">
        <v>882</v>
      </c>
      <c r="F219" s="57" t="s">
        <v>76</v>
      </c>
      <c r="G219" s="57" t="s">
        <v>77</v>
      </c>
      <c r="H219" s="57" t="s">
        <v>70</v>
      </c>
      <c r="I219" s="57" t="s">
        <v>883</v>
      </c>
      <c r="J219" s="57" t="s">
        <v>884</v>
      </c>
      <c r="K219" s="57" t="s">
        <v>885</v>
      </c>
      <c r="L219" s="52" t="str">
        <f>HYPERLINK("https://zibs.nl/wiki/Patient-v3.1(2017NL)#GeslachtCodelijst","GeslachtCodelijst")</f>
        <v>GeslachtCodelijst</v>
      </c>
      <c r="M219" s="57"/>
      <c r="N219" s="53" t="s">
        <v>106</v>
      </c>
      <c r="O219" s="54"/>
    </row>
    <row r="220" spans="1:15" ht="25.5" x14ac:dyDescent="0.25">
      <c r="A220" s="71" t="s">
        <v>18</v>
      </c>
      <c r="B220" s="61" t="s">
        <v>862</v>
      </c>
      <c r="C220" s="61" t="s">
        <v>886</v>
      </c>
      <c r="D220" s="61"/>
      <c r="E220" s="57" t="s">
        <v>887</v>
      </c>
      <c r="F220" s="57" t="s">
        <v>197</v>
      </c>
      <c r="G220" s="57" t="s">
        <v>69</v>
      </c>
      <c r="H220" s="57" t="s">
        <v>70</v>
      </c>
      <c r="I220" s="57" t="s">
        <v>888</v>
      </c>
      <c r="J220" s="57" t="s">
        <v>889</v>
      </c>
      <c r="K220" s="57"/>
      <c r="L220" s="52" t="str">
        <f>HYPERLINK("https://zibs.nl/wiki/Patient-v3.1(2017NL)#","")</f>
        <v/>
      </c>
      <c r="M220" s="57"/>
      <c r="N220" s="53" t="s">
        <v>106</v>
      </c>
      <c r="O220" s="54"/>
    </row>
    <row r="221" spans="1:15" ht="25.5" x14ac:dyDescent="0.25">
      <c r="A221" s="71" t="s">
        <v>18</v>
      </c>
      <c r="B221" s="61" t="s">
        <v>862</v>
      </c>
      <c r="C221" s="61" t="s">
        <v>890</v>
      </c>
      <c r="D221" s="61"/>
      <c r="E221" s="57" t="s">
        <v>891</v>
      </c>
      <c r="F221" s="57" t="s">
        <v>197</v>
      </c>
      <c r="G221" s="57" t="s">
        <v>69</v>
      </c>
      <c r="H221" s="57" t="s">
        <v>70</v>
      </c>
      <c r="I221" s="57" t="s">
        <v>892</v>
      </c>
      <c r="J221" s="57" t="s">
        <v>893</v>
      </c>
      <c r="K221" s="57" t="s">
        <v>894</v>
      </c>
      <c r="L221" s="52" t="str">
        <f>HYPERLINK("https://zibs.nl/wiki/Patient-v3.1(2017NL)#","")</f>
        <v/>
      </c>
      <c r="M221" s="57"/>
      <c r="N221" s="53" t="s">
        <v>106</v>
      </c>
      <c r="O221" s="54"/>
    </row>
    <row r="222" spans="1:15" ht="25.5" x14ac:dyDescent="0.25">
      <c r="A222" s="71" t="s">
        <v>18</v>
      </c>
      <c r="B222" s="61" t="s">
        <v>862</v>
      </c>
      <c r="C222" s="61" t="s">
        <v>895</v>
      </c>
      <c r="D222" s="61"/>
      <c r="E222" s="57" t="s">
        <v>896</v>
      </c>
      <c r="F222" s="57" t="s">
        <v>88</v>
      </c>
      <c r="G222" s="57" t="s">
        <v>69</v>
      </c>
      <c r="H222" s="57" t="s">
        <v>70</v>
      </c>
      <c r="I222" s="57" t="s">
        <v>897</v>
      </c>
      <c r="J222" s="57" t="s">
        <v>898</v>
      </c>
      <c r="K222" s="57" t="s">
        <v>899</v>
      </c>
      <c r="L222" s="52" t="str">
        <f>HYPERLINK("https://zibs.nl/wiki/Patient-v3.1(2017NL)#","")</f>
        <v/>
      </c>
      <c r="M222" s="57"/>
      <c r="N222" s="53" t="s">
        <v>106</v>
      </c>
      <c r="O222" s="54"/>
    </row>
    <row r="223" spans="1:15" ht="38.25" x14ac:dyDescent="0.25">
      <c r="A223" s="49" t="s">
        <v>21</v>
      </c>
      <c r="B223" s="49" t="s">
        <v>900</v>
      </c>
      <c r="C223" s="49" t="s">
        <v>21</v>
      </c>
      <c r="D223" s="49"/>
      <c r="E223" s="51" t="s">
        <v>416</v>
      </c>
      <c r="F223" s="51"/>
      <c r="G223" s="51"/>
      <c r="H223" s="51" t="s">
        <v>62</v>
      </c>
      <c r="I223" s="51" t="s">
        <v>901</v>
      </c>
      <c r="J223" s="51" t="s">
        <v>902</v>
      </c>
      <c r="K223" s="51"/>
      <c r="L223" s="52" t="str">
        <f>HYPERLINK("https://zibs.nl/wiki/Probleem-v4.1(2017NL)#","")</f>
        <v/>
      </c>
      <c r="M223" s="51"/>
      <c r="N223" s="53" t="s">
        <v>106</v>
      </c>
      <c r="O223" s="54"/>
    </row>
    <row r="224" spans="1:15" ht="38.25" x14ac:dyDescent="0.25">
      <c r="A224" s="49" t="s">
        <v>21</v>
      </c>
      <c r="B224" s="61" t="s">
        <v>900</v>
      </c>
      <c r="C224" s="61" t="s">
        <v>903</v>
      </c>
      <c r="D224" s="61"/>
      <c r="E224" s="57" t="s">
        <v>904</v>
      </c>
      <c r="F224" s="57" t="s">
        <v>76</v>
      </c>
      <c r="G224" s="57" t="s">
        <v>69</v>
      </c>
      <c r="H224" s="57" t="s">
        <v>70</v>
      </c>
      <c r="I224" s="57" t="s">
        <v>905</v>
      </c>
      <c r="J224" s="57" t="s">
        <v>906</v>
      </c>
      <c r="K224" s="57" t="s">
        <v>907</v>
      </c>
      <c r="L224" s="52" t="str">
        <f>HYPERLINK("https://zibs.nl/wiki/Probleem-v4.1(2017NL)#ProbleemAnatomischeLocatieCodelijst","ProbleemAnatomischeLocatieCodelijst")</f>
        <v>ProbleemAnatomischeLocatieCodelijst</v>
      </c>
      <c r="M224" s="57"/>
      <c r="N224" s="53" t="s">
        <v>106</v>
      </c>
      <c r="O224" s="54"/>
    </row>
    <row r="225" spans="1:15" ht="25.5" x14ac:dyDescent="0.25">
      <c r="A225" s="49" t="s">
        <v>21</v>
      </c>
      <c r="B225" s="61" t="s">
        <v>900</v>
      </c>
      <c r="C225" s="61" t="s">
        <v>908</v>
      </c>
      <c r="D225" s="61"/>
      <c r="E225" s="57" t="s">
        <v>909</v>
      </c>
      <c r="F225" s="57" t="s">
        <v>76</v>
      </c>
      <c r="G225" s="57" t="s">
        <v>69</v>
      </c>
      <c r="H225" s="57" t="s">
        <v>70</v>
      </c>
      <c r="I225" s="57" t="s">
        <v>910</v>
      </c>
      <c r="J225" s="57" t="s">
        <v>551</v>
      </c>
      <c r="K225" s="57" t="s">
        <v>552</v>
      </c>
      <c r="L225" s="52" t="str">
        <f>HYPERLINK("https://zibs.nl/wiki/Probleem-v4.1(2017NL)#ProbleemLateraliteitCodelijst","ProbleemLateraliteitCodelijst")</f>
        <v>ProbleemLateraliteitCodelijst</v>
      </c>
      <c r="M225" s="57"/>
      <c r="N225" s="53" t="s">
        <v>106</v>
      </c>
      <c r="O225" s="54"/>
    </row>
    <row r="226" spans="1:15" ht="15" x14ac:dyDescent="0.25">
      <c r="A226" s="49" t="s">
        <v>21</v>
      </c>
      <c r="B226" s="61" t="s">
        <v>900</v>
      </c>
      <c r="C226" s="61" t="s">
        <v>911</v>
      </c>
      <c r="D226" s="61"/>
      <c r="E226" s="57" t="s">
        <v>912</v>
      </c>
      <c r="F226" s="57" t="s">
        <v>76</v>
      </c>
      <c r="G226" s="57" t="s">
        <v>69</v>
      </c>
      <c r="H226" s="57" t="s">
        <v>70</v>
      </c>
      <c r="I226" s="57" t="s">
        <v>913</v>
      </c>
      <c r="J226" s="57" t="s">
        <v>914</v>
      </c>
      <c r="K226" s="57"/>
      <c r="L226" s="52" t="str">
        <f>HYPERLINK("https://zibs.nl/wiki/Probleem-v4.1(2017NL)#ProbleemTypeCodelijst","ProbleemTypeCodelijst")</f>
        <v>ProbleemTypeCodelijst</v>
      </c>
      <c r="M226" s="57"/>
      <c r="N226" s="53" t="s">
        <v>106</v>
      </c>
      <c r="O226" s="54"/>
    </row>
    <row r="227" spans="1:15" ht="25.5" x14ac:dyDescent="0.25">
      <c r="A227" s="49" t="s">
        <v>21</v>
      </c>
      <c r="B227" s="61" t="s">
        <v>900</v>
      </c>
      <c r="C227" s="61" t="s">
        <v>915</v>
      </c>
      <c r="D227" s="61"/>
      <c r="E227" s="57" t="s">
        <v>916</v>
      </c>
      <c r="F227" s="57" t="s">
        <v>76</v>
      </c>
      <c r="G227" s="57" t="s">
        <v>77</v>
      </c>
      <c r="H227" s="57" t="s">
        <v>70</v>
      </c>
      <c r="I227" s="57" t="s">
        <v>917</v>
      </c>
      <c r="J227" s="57" t="s">
        <v>918</v>
      </c>
      <c r="K227" s="57"/>
      <c r="L227" s="52" t="str">
        <f>HYPERLINK("https://zibs.nl/wiki/Probleem-v4.1(2017NL)#ProbleemNaamCodelijst","ProbleemNaamCodelijst")</f>
        <v>ProbleemNaamCodelijst</v>
      </c>
      <c r="M227" s="57"/>
      <c r="N227" s="53" t="s">
        <v>106</v>
      </c>
      <c r="O227" s="54"/>
    </row>
    <row r="228" spans="1:15" ht="38.25" x14ac:dyDescent="0.25">
      <c r="A228" s="49" t="s">
        <v>21</v>
      </c>
      <c r="B228" s="61" t="s">
        <v>900</v>
      </c>
      <c r="C228" s="61" t="s">
        <v>919</v>
      </c>
      <c r="D228" s="61"/>
      <c r="E228" s="57" t="s">
        <v>920</v>
      </c>
      <c r="F228" s="57" t="s">
        <v>88</v>
      </c>
      <c r="G228" s="57" t="s">
        <v>69</v>
      </c>
      <c r="H228" s="57" t="s">
        <v>70</v>
      </c>
      <c r="I228" s="57" t="s">
        <v>921</v>
      </c>
      <c r="J228" s="57" t="s">
        <v>922</v>
      </c>
      <c r="K228" s="57"/>
      <c r="L228" s="52" t="str">
        <f>HYPERLINK("https://zibs.nl/wiki/Probleem-v4.1(2017NL)#","")</f>
        <v/>
      </c>
      <c r="M228" s="57"/>
      <c r="N228" s="53" t="s">
        <v>106</v>
      </c>
      <c r="O228" s="54"/>
    </row>
    <row r="229" spans="1:15" ht="38.25" x14ac:dyDescent="0.25">
      <c r="A229" s="49" t="s">
        <v>21</v>
      </c>
      <c r="B229" s="61" t="s">
        <v>900</v>
      </c>
      <c r="C229" s="61" t="s">
        <v>923</v>
      </c>
      <c r="D229" s="61"/>
      <c r="E229" s="57" t="s">
        <v>924</v>
      </c>
      <c r="F229" s="57" t="s">
        <v>88</v>
      </c>
      <c r="G229" s="57" t="s">
        <v>69</v>
      </c>
      <c r="H229" s="57" t="s">
        <v>70</v>
      </c>
      <c r="I229" s="57" t="s">
        <v>925</v>
      </c>
      <c r="J229" s="57" t="s">
        <v>926</v>
      </c>
      <c r="K229" s="57"/>
      <c r="L229" s="52" t="str">
        <f>HYPERLINK("https://zibs.nl/wiki/Probleem-v4.1(2017NL)#","")</f>
        <v/>
      </c>
      <c r="M229" s="57"/>
      <c r="N229" s="53" t="s">
        <v>106</v>
      </c>
      <c r="O229" s="54"/>
    </row>
    <row r="230" spans="1:15" ht="63.75" x14ac:dyDescent="0.25">
      <c r="A230" s="49" t="s">
        <v>21</v>
      </c>
      <c r="B230" s="61" t="s">
        <v>900</v>
      </c>
      <c r="C230" s="61" t="s">
        <v>927</v>
      </c>
      <c r="D230" s="61"/>
      <c r="E230" s="57" t="s">
        <v>928</v>
      </c>
      <c r="F230" s="57" t="s">
        <v>76</v>
      </c>
      <c r="G230" s="57" t="s">
        <v>77</v>
      </c>
      <c r="H230" s="57" t="s">
        <v>70</v>
      </c>
      <c r="I230" s="57" t="s">
        <v>929</v>
      </c>
      <c r="J230" s="57" t="s">
        <v>930</v>
      </c>
      <c r="K230" s="57"/>
      <c r="L230" s="52" t="str">
        <f>HYPERLINK("https://zibs.nl/wiki/Probleem-v4.1(2017NL)#ProbleemStatusCodelijst","ProbleemStatusCodelijst")</f>
        <v>ProbleemStatusCodelijst</v>
      </c>
      <c r="M230" s="57"/>
      <c r="N230" s="53" t="s">
        <v>106</v>
      </c>
      <c r="O230" s="54"/>
    </row>
    <row r="231" spans="1:15" ht="25.5" x14ac:dyDescent="0.25">
      <c r="A231" s="49" t="s">
        <v>21</v>
      </c>
      <c r="B231" s="61" t="s">
        <v>900</v>
      </c>
      <c r="C231" s="61" t="s">
        <v>931</v>
      </c>
      <c r="D231" s="61"/>
      <c r="E231" s="57" t="s">
        <v>932</v>
      </c>
      <c r="F231" s="57" t="s">
        <v>76</v>
      </c>
      <c r="G231" s="57" t="s">
        <v>69</v>
      </c>
      <c r="H231" s="57" t="s">
        <v>70</v>
      </c>
      <c r="I231" s="57" t="s">
        <v>933</v>
      </c>
      <c r="J231" s="57" t="s">
        <v>934</v>
      </c>
      <c r="K231" s="57" t="s">
        <v>935</v>
      </c>
      <c r="L231" s="52" t="str">
        <f>HYPERLINK("https://zibs.nl/wiki/Probleem-v4.1(2017NL)#VerificatieStatusCodelijst","VerificatieStatusCodelijst")</f>
        <v>VerificatieStatusCodelijst</v>
      </c>
      <c r="M231" s="57"/>
      <c r="N231" s="53" t="s">
        <v>106</v>
      </c>
      <c r="O231" s="54"/>
    </row>
    <row r="232" spans="1:15" ht="25.5" x14ac:dyDescent="0.25">
      <c r="A232" s="49" t="s">
        <v>21</v>
      </c>
      <c r="B232" s="61" t="s">
        <v>900</v>
      </c>
      <c r="C232" s="61" t="s">
        <v>66</v>
      </c>
      <c r="D232" s="61"/>
      <c r="E232" s="57" t="s">
        <v>67</v>
      </c>
      <c r="F232" s="57" t="s">
        <v>68</v>
      </c>
      <c r="G232" s="57" t="s">
        <v>69</v>
      </c>
      <c r="H232" s="57" t="s">
        <v>70</v>
      </c>
      <c r="I232" s="57" t="s">
        <v>936</v>
      </c>
      <c r="J232" s="57" t="s">
        <v>937</v>
      </c>
      <c r="K232" s="57" t="s">
        <v>483</v>
      </c>
      <c r="L232" s="52" t="str">
        <f>HYPERLINK("https://zibs.nl/wiki/Probleem-v4.1(2017NL)#","")</f>
        <v/>
      </c>
      <c r="M232" s="57"/>
      <c r="N232" s="53" t="s">
        <v>106</v>
      </c>
      <c r="O232" s="54"/>
    </row>
    <row r="233" spans="1:15" ht="15" x14ac:dyDescent="0.25">
      <c r="A233" s="49" t="s">
        <v>938</v>
      </c>
      <c r="B233" s="49" t="s">
        <v>939</v>
      </c>
      <c r="C233" s="49" t="s">
        <v>938</v>
      </c>
      <c r="D233" s="49"/>
      <c r="E233" s="51" t="s">
        <v>940</v>
      </c>
      <c r="F233" s="51"/>
      <c r="G233" s="51"/>
      <c r="H233" s="51" t="s">
        <v>62</v>
      </c>
      <c r="I233" s="51" t="s">
        <v>941</v>
      </c>
      <c r="J233" s="51" t="s">
        <v>942</v>
      </c>
      <c r="K233" s="51"/>
      <c r="L233" s="52" t="str">
        <f>HYPERLINK("https://zibs.nl/wiki/TabakGebruik-v3.1(2017NL)#","")</f>
        <v/>
      </c>
      <c r="M233" s="51"/>
      <c r="N233" s="53" t="s">
        <v>106</v>
      </c>
      <c r="O233" s="54"/>
    </row>
    <row r="234" spans="1:15" ht="25.5" x14ac:dyDescent="0.25">
      <c r="A234" s="49" t="s">
        <v>938</v>
      </c>
      <c r="B234" s="61" t="s">
        <v>939</v>
      </c>
      <c r="C234" s="61" t="s">
        <v>66</v>
      </c>
      <c r="D234" s="61"/>
      <c r="E234" s="57" t="s">
        <v>67</v>
      </c>
      <c r="F234" s="57" t="s">
        <v>68</v>
      </c>
      <c r="G234" s="57" t="s">
        <v>69</v>
      </c>
      <c r="H234" s="57" t="s">
        <v>70</v>
      </c>
      <c r="I234" s="57" t="s">
        <v>943</v>
      </c>
      <c r="J234" s="57" t="s">
        <v>72</v>
      </c>
      <c r="K234" s="57" t="s">
        <v>73</v>
      </c>
      <c r="L234" s="52" t="str">
        <f>HYPERLINK("https://zibs.nl/wiki/TabakGebruik-v3.1(2017NL)#","")</f>
        <v/>
      </c>
      <c r="M234" s="57"/>
      <c r="N234" s="53" t="s">
        <v>106</v>
      </c>
      <c r="O234" s="54"/>
    </row>
    <row r="235" spans="1:15" ht="25.5" x14ac:dyDescent="0.25">
      <c r="A235" s="49" t="s">
        <v>938</v>
      </c>
      <c r="B235" s="61" t="s">
        <v>939</v>
      </c>
      <c r="C235" s="61" t="s">
        <v>944</v>
      </c>
      <c r="D235" s="61"/>
      <c r="E235" s="57" t="s">
        <v>945</v>
      </c>
      <c r="F235" s="57" t="s">
        <v>76</v>
      </c>
      <c r="G235" s="57" t="s">
        <v>69</v>
      </c>
      <c r="H235" s="57" t="s">
        <v>70</v>
      </c>
      <c r="I235" s="57" t="s">
        <v>946</v>
      </c>
      <c r="J235" s="57" t="s">
        <v>947</v>
      </c>
      <c r="K235" s="57"/>
      <c r="L235" s="52" t="str">
        <f>HYPERLINK("https://zibs.nl/wiki/TabakGebruik-v3.1(2017NL)#SoortTabakGebruikCodelijst","SoortTabakGebruikCodelijst")</f>
        <v>SoortTabakGebruikCodelijst</v>
      </c>
      <c r="M235" s="57"/>
      <c r="N235" s="53" t="s">
        <v>106</v>
      </c>
      <c r="O235" s="54"/>
    </row>
    <row r="236" spans="1:15" ht="38.25" x14ac:dyDescent="0.25">
      <c r="A236" s="49" t="s">
        <v>938</v>
      </c>
      <c r="B236" s="61" t="s">
        <v>939</v>
      </c>
      <c r="C236" s="61" t="s">
        <v>948</v>
      </c>
      <c r="D236" s="61"/>
      <c r="E236" s="57" t="s">
        <v>949</v>
      </c>
      <c r="F236" s="57" t="s">
        <v>76</v>
      </c>
      <c r="G236" s="57" t="s">
        <v>77</v>
      </c>
      <c r="H236" s="57" t="s">
        <v>70</v>
      </c>
      <c r="I236" s="57" t="s">
        <v>950</v>
      </c>
      <c r="J236" s="57" t="s">
        <v>951</v>
      </c>
      <c r="K236" s="57" t="s">
        <v>952</v>
      </c>
      <c r="L236" s="52" t="str">
        <f>HYPERLINK("https://zibs.nl/wiki/TabakGebruik-v3.1(2017NL)#TabakGebruikStatusCodelijst","TabakGebruikStatusCodelijst")</f>
        <v>TabakGebruikStatusCodelijst</v>
      </c>
      <c r="M236" s="57"/>
      <c r="N236" s="53" t="s">
        <v>106</v>
      </c>
      <c r="O236" s="54"/>
    </row>
    <row r="237" spans="1:15" ht="15" x14ac:dyDescent="0.25">
      <c r="A237" s="49" t="s">
        <v>938</v>
      </c>
      <c r="B237" s="66" t="s">
        <v>939</v>
      </c>
      <c r="C237" s="66" t="s">
        <v>81</v>
      </c>
      <c r="D237" s="66"/>
      <c r="E237" s="60" t="s">
        <v>82</v>
      </c>
      <c r="F237" s="60"/>
      <c r="G237" s="60" t="s">
        <v>69</v>
      </c>
      <c r="H237" s="60" t="s">
        <v>83</v>
      </c>
      <c r="I237" s="60" t="s">
        <v>953</v>
      </c>
      <c r="J237" s="60" t="s">
        <v>954</v>
      </c>
      <c r="K237" s="60"/>
      <c r="L237" s="52" t="str">
        <f>HYPERLINK("https://zibs.nl/wiki/TabakGebruik-v3.1(2017NL)#","")</f>
        <v/>
      </c>
      <c r="M237" s="60"/>
      <c r="N237" s="53" t="s">
        <v>106</v>
      </c>
      <c r="O237" s="54"/>
    </row>
    <row r="238" spans="1:15" ht="15" x14ac:dyDescent="0.25">
      <c r="A238" s="49" t="s">
        <v>938</v>
      </c>
      <c r="B238" s="61" t="s">
        <v>939</v>
      </c>
      <c r="C238" s="61" t="s">
        <v>86</v>
      </c>
      <c r="D238" s="61"/>
      <c r="E238" s="57" t="s">
        <v>87</v>
      </c>
      <c r="F238" s="57" t="s">
        <v>88</v>
      </c>
      <c r="G238" s="57" t="s">
        <v>69</v>
      </c>
      <c r="H238" s="57" t="s">
        <v>70</v>
      </c>
      <c r="I238" s="57" t="s">
        <v>955</v>
      </c>
      <c r="J238" s="57" t="s">
        <v>956</v>
      </c>
      <c r="K238" s="57"/>
      <c r="L238" s="52" t="str">
        <f>HYPERLINK("https://zibs.nl/wiki/TabakGebruik-v3.1(2017NL)#","")</f>
        <v/>
      </c>
      <c r="M238" s="57"/>
      <c r="N238" s="53" t="s">
        <v>106</v>
      </c>
      <c r="O238" s="54"/>
    </row>
    <row r="239" spans="1:15" ht="15" x14ac:dyDescent="0.25">
      <c r="A239" s="49" t="s">
        <v>938</v>
      </c>
      <c r="B239" s="61" t="s">
        <v>939</v>
      </c>
      <c r="C239" s="61" t="s">
        <v>91</v>
      </c>
      <c r="D239" s="61"/>
      <c r="E239" s="57" t="s">
        <v>92</v>
      </c>
      <c r="F239" s="57" t="s">
        <v>88</v>
      </c>
      <c r="G239" s="57" t="s">
        <v>69</v>
      </c>
      <c r="H239" s="57" t="s">
        <v>70</v>
      </c>
      <c r="I239" s="57" t="s">
        <v>957</v>
      </c>
      <c r="J239" s="57" t="s">
        <v>958</v>
      </c>
      <c r="K239" s="57"/>
      <c r="L239" s="52" t="str">
        <f>HYPERLINK("https://zibs.nl/wiki/TabakGebruik-v3.1(2017NL)#","")</f>
        <v/>
      </c>
      <c r="M239" s="57"/>
      <c r="N239" s="53" t="s">
        <v>106</v>
      </c>
      <c r="O239" s="54"/>
    </row>
    <row r="240" spans="1:15" ht="15" x14ac:dyDescent="0.25">
      <c r="A240" s="49" t="s">
        <v>938</v>
      </c>
      <c r="B240" s="61" t="s">
        <v>939</v>
      </c>
      <c r="C240" s="61" t="s">
        <v>95</v>
      </c>
      <c r="D240" s="61"/>
      <c r="E240" s="57" t="s">
        <v>96</v>
      </c>
      <c r="F240" s="57" t="s">
        <v>97</v>
      </c>
      <c r="G240" s="57" t="s">
        <v>69</v>
      </c>
      <c r="H240" s="57" t="s">
        <v>70</v>
      </c>
      <c r="I240" s="57" t="s">
        <v>959</v>
      </c>
      <c r="J240" s="57" t="s">
        <v>960</v>
      </c>
      <c r="K240" s="57"/>
      <c r="L240" s="52" t="str">
        <f>HYPERLINK("https://zibs.nl/wiki/TabakGebruik-v3.1(2017NL)#","")</f>
        <v/>
      </c>
      <c r="M240" s="57"/>
      <c r="N240" s="53" t="s">
        <v>106</v>
      </c>
      <c r="O240" s="54"/>
    </row>
    <row r="241" spans="1:15" ht="51" x14ac:dyDescent="0.25">
      <c r="A241" s="49" t="s">
        <v>938</v>
      </c>
      <c r="B241" s="61" t="s">
        <v>939</v>
      </c>
      <c r="C241" s="61" t="s">
        <v>961</v>
      </c>
      <c r="D241" s="61"/>
      <c r="E241" s="57" t="s">
        <v>962</v>
      </c>
      <c r="F241" s="57" t="s">
        <v>505</v>
      </c>
      <c r="G241" s="57" t="s">
        <v>69</v>
      </c>
      <c r="H241" s="57" t="s">
        <v>70</v>
      </c>
      <c r="I241" s="57" t="s">
        <v>963</v>
      </c>
      <c r="J241" s="57" t="s">
        <v>964</v>
      </c>
      <c r="K241" s="57" t="s">
        <v>965</v>
      </c>
      <c r="L241" s="52" t="str">
        <f>HYPERLINK("https://zibs.nl/wiki/TabakGebruik-v3.1(2017NL)#","")</f>
        <v/>
      </c>
      <c r="M241" s="57"/>
      <c r="N241" s="53" t="s">
        <v>106</v>
      </c>
      <c r="O241" s="54"/>
    </row>
    <row r="242" spans="1:15" ht="38.25" x14ac:dyDescent="0.25">
      <c r="A242" s="49" t="s">
        <v>966</v>
      </c>
      <c r="B242" s="49" t="s">
        <v>967</v>
      </c>
      <c r="C242" s="49" t="s">
        <v>966</v>
      </c>
      <c r="D242" s="49"/>
      <c r="E242" s="51" t="s">
        <v>968</v>
      </c>
      <c r="F242" s="51"/>
      <c r="G242" s="51"/>
      <c r="H242" s="51" t="s">
        <v>62</v>
      </c>
      <c r="I242" s="51" t="s">
        <v>969</v>
      </c>
      <c r="J242" s="51" t="s">
        <v>970</v>
      </c>
      <c r="K242" s="51"/>
      <c r="L242" s="52" t="str">
        <f>HYPERLINK("https://zibs.nl/wiki/Toedieningsafspraak-v1.0.1(2017NL)#","")</f>
        <v/>
      </c>
      <c r="M242" s="51"/>
      <c r="N242" s="53" t="s">
        <v>106</v>
      </c>
      <c r="O242" s="54"/>
    </row>
    <row r="243" spans="1:15" ht="38.25" x14ac:dyDescent="0.25">
      <c r="A243" s="49" t="s">
        <v>966</v>
      </c>
      <c r="B243" s="61" t="s">
        <v>967</v>
      </c>
      <c r="C243" s="61" t="s">
        <v>971</v>
      </c>
      <c r="D243" s="61"/>
      <c r="E243" s="57" t="s">
        <v>972</v>
      </c>
      <c r="F243" s="57"/>
      <c r="G243" s="57" t="s">
        <v>69</v>
      </c>
      <c r="H243" s="57" t="s">
        <v>399</v>
      </c>
      <c r="I243" s="57" t="s">
        <v>973</v>
      </c>
      <c r="J243" s="57" t="s">
        <v>974</v>
      </c>
      <c r="K243" s="57"/>
      <c r="L243" s="62" t="s">
        <v>975</v>
      </c>
      <c r="M243" s="57"/>
      <c r="N243" s="53" t="s">
        <v>106</v>
      </c>
      <c r="O243" s="54"/>
    </row>
    <row r="244" spans="1:15" ht="51" x14ac:dyDescent="0.25">
      <c r="A244" s="49" t="s">
        <v>966</v>
      </c>
      <c r="B244" s="61" t="s">
        <v>967</v>
      </c>
      <c r="C244" s="61" t="s">
        <v>976</v>
      </c>
      <c r="D244" s="61"/>
      <c r="E244" s="57" t="s">
        <v>977</v>
      </c>
      <c r="F244" s="57"/>
      <c r="G244" s="57" t="s">
        <v>77</v>
      </c>
      <c r="H244" s="57" t="s">
        <v>110</v>
      </c>
      <c r="I244" s="57" t="s">
        <v>978</v>
      </c>
      <c r="J244" s="57" t="s">
        <v>979</v>
      </c>
      <c r="K244" s="57"/>
      <c r="L244" s="62" t="s">
        <v>700</v>
      </c>
      <c r="M244" s="57"/>
      <c r="N244" s="53" t="s">
        <v>106</v>
      </c>
      <c r="O244" s="54"/>
    </row>
    <row r="245" spans="1:15" ht="38.25" x14ac:dyDescent="0.25">
      <c r="A245" s="49" t="s">
        <v>966</v>
      </c>
      <c r="B245" s="61" t="s">
        <v>967</v>
      </c>
      <c r="C245" s="61" t="s">
        <v>701</v>
      </c>
      <c r="D245" s="61"/>
      <c r="E245" s="57" t="s">
        <v>702</v>
      </c>
      <c r="F245" s="57"/>
      <c r="G245" s="57" t="s">
        <v>69</v>
      </c>
      <c r="H245" s="57" t="s">
        <v>110</v>
      </c>
      <c r="I245" s="57" t="s">
        <v>980</v>
      </c>
      <c r="J245" s="57" t="s">
        <v>981</v>
      </c>
      <c r="K245" s="57"/>
      <c r="L245" s="62" t="s">
        <v>705</v>
      </c>
      <c r="M245" s="57"/>
      <c r="N245" s="53" t="s">
        <v>106</v>
      </c>
      <c r="O245" s="54"/>
    </row>
    <row r="246" spans="1:15" ht="38.25" x14ac:dyDescent="0.25">
      <c r="A246" s="49" t="s">
        <v>966</v>
      </c>
      <c r="B246" s="61" t="s">
        <v>967</v>
      </c>
      <c r="C246" s="61" t="s">
        <v>982</v>
      </c>
      <c r="D246" s="61"/>
      <c r="E246" s="57" t="s">
        <v>983</v>
      </c>
      <c r="F246" s="57" t="s">
        <v>88</v>
      </c>
      <c r="G246" s="57" t="s">
        <v>69</v>
      </c>
      <c r="H246" s="57" t="s">
        <v>70</v>
      </c>
      <c r="I246" s="57" t="s">
        <v>984</v>
      </c>
      <c r="J246" s="57" t="s">
        <v>985</v>
      </c>
      <c r="K246" s="57"/>
      <c r="L246" s="52" t="str">
        <f>HYPERLINK("https://zibs.nl/wiki/Toedieningsafspraak-v1.0.1(2017NL)#","")</f>
        <v/>
      </c>
      <c r="M246" s="57"/>
      <c r="N246" s="53" t="s">
        <v>106</v>
      </c>
      <c r="O246" s="54"/>
    </row>
    <row r="247" spans="1:15" ht="38.25" x14ac:dyDescent="0.25">
      <c r="A247" s="49" t="s">
        <v>966</v>
      </c>
      <c r="B247" s="61" t="s">
        <v>967</v>
      </c>
      <c r="C247" s="61" t="s">
        <v>986</v>
      </c>
      <c r="D247" s="61"/>
      <c r="E247" s="57" t="s">
        <v>987</v>
      </c>
      <c r="F247" s="57" t="s">
        <v>68</v>
      </c>
      <c r="G247" s="57" t="s">
        <v>69</v>
      </c>
      <c r="H247" s="57" t="s">
        <v>70</v>
      </c>
      <c r="I247" s="57" t="s">
        <v>988</v>
      </c>
      <c r="J247" s="57" t="s">
        <v>989</v>
      </c>
      <c r="K247" s="57"/>
      <c r="L247" s="52" t="str">
        <f>HYPERLINK("https://zibs.nl/wiki/Toedieningsafspraak-v1.0.1(2017NL)#","")</f>
        <v/>
      </c>
      <c r="M247" s="57"/>
      <c r="N247" s="53" t="s">
        <v>106</v>
      </c>
      <c r="O247" s="54"/>
    </row>
    <row r="248" spans="1:15" ht="38.25" x14ac:dyDescent="0.25">
      <c r="A248" s="49" t="s">
        <v>966</v>
      </c>
      <c r="B248" s="61" t="s">
        <v>967</v>
      </c>
      <c r="C248" s="61" t="s">
        <v>710</v>
      </c>
      <c r="D248" s="61"/>
      <c r="E248" s="57" t="s">
        <v>711</v>
      </c>
      <c r="F248" s="57"/>
      <c r="G248" s="57" t="s">
        <v>77</v>
      </c>
      <c r="H248" s="57" t="s">
        <v>110</v>
      </c>
      <c r="I248" s="57" t="s">
        <v>990</v>
      </c>
      <c r="J248" s="57" t="s">
        <v>278</v>
      </c>
      <c r="K248" s="57"/>
      <c r="L248" s="62" t="s">
        <v>713</v>
      </c>
      <c r="M248" s="57"/>
      <c r="N248" s="53" t="s">
        <v>106</v>
      </c>
      <c r="O248" s="54"/>
    </row>
    <row r="249" spans="1:15" ht="38.25" x14ac:dyDescent="0.25">
      <c r="A249" s="49" t="s">
        <v>966</v>
      </c>
      <c r="B249" s="61" t="s">
        <v>967</v>
      </c>
      <c r="C249" s="61" t="s">
        <v>676</v>
      </c>
      <c r="D249" s="61"/>
      <c r="E249" s="57" t="s">
        <v>678</v>
      </c>
      <c r="F249" s="57"/>
      <c r="G249" s="57" t="s">
        <v>69</v>
      </c>
      <c r="H249" s="57" t="s">
        <v>110</v>
      </c>
      <c r="I249" s="57" t="s">
        <v>991</v>
      </c>
      <c r="J249" s="57" t="s">
        <v>992</v>
      </c>
      <c r="K249" s="57"/>
      <c r="L249" s="62" t="s">
        <v>993</v>
      </c>
      <c r="M249" s="57"/>
      <c r="N249" s="53" t="s">
        <v>106</v>
      </c>
      <c r="O249" s="54"/>
    </row>
    <row r="250" spans="1:15" ht="38.25" x14ac:dyDescent="0.25">
      <c r="A250" s="49" t="s">
        <v>966</v>
      </c>
      <c r="B250" s="61" t="s">
        <v>967</v>
      </c>
      <c r="C250" s="61" t="s">
        <v>994</v>
      </c>
      <c r="D250" s="61"/>
      <c r="E250" s="57" t="s">
        <v>995</v>
      </c>
      <c r="F250" s="57" t="s">
        <v>76</v>
      </c>
      <c r="G250" s="57" t="s">
        <v>69</v>
      </c>
      <c r="H250" s="57" t="s">
        <v>70</v>
      </c>
      <c r="I250" s="57" t="s">
        <v>996</v>
      </c>
      <c r="J250" s="57" t="s">
        <v>721</v>
      </c>
      <c r="K250" s="57"/>
      <c r="L250" s="52" t="str">
        <f>HYPERLINK("https://zibs.nl/wiki/Toedieningsafspraak-v1.0.1(2017NL)#ToedieningsafspraakStopTypeCodelijst","ToedieningsafspraakStopTypeCodelijst")</f>
        <v>ToedieningsafspraakStopTypeCodelijst</v>
      </c>
      <c r="M250" s="57"/>
      <c r="N250" s="53" t="s">
        <v>106</v>
      </c>
      <c r="O250" s="54"/>
    </row>
    <row r="251" spans="1:15" ht="38.25" x14ac:dyDescent="0.25">
      <c r="A251" s="49" t="s">
        <v>966</v>
      </c>
      <c r="B251" s="61" t="s">
        <v>967</v>
      </c>
      <c r="C251" s="61" t="s">
        <v>714</v>
      </c>
      <c r="D251" s="61"/>
      <c r="E251" s="57" t="s">
        <v>715</v>
      </c>
      <c r="F251" s="57" t="s">
        <v>197</v>
      </c>
      <c r="G251" s="57" t="s">
        <v>69</v>
      </c>
      <c r="H251" s="57" t="s">
        <v>70</v>
      </c>
      <c r="I251" s="57" t="s">
        <v>997</v>
      </c>
      <c r="J251" s="57" t="s">
        <v>998</v>
      </c>
      <c r="K251" s="57"/>
      <c r="L251" s="52" t="str">
        <f>HYPERLINK("https://zibs.nl/wiki/Toedieningsafspraak-v1.0.1(2017NL)#","")</f>
        <v/>
      </c>
      <c r="M251" s="57"/>
      <c r="N251" s="53" t="s">
        <v>106</v>
      </c>
      <c r="O251" s="54"/>
    </row>
    <row r="252" spans="1:15" ht="76.5" x14ac:dyDescent="0.25">
      <c r="A252" s="49" t="s">
        <v>966</v>
      </c>
      <c r="B252" s="61" t="s">
        <v>967</v>
      </c>
      <c r="C252" s="61" t="s">
        <v>999</v>
      </c>
      <c r="D252" s="61"/>
      <c r="E252" s="57" t="s">
        <v>1000</v>
      </c>
      <c r="F252" s="57" t="s">
        <v>76</v>
      </c>
      <c r="G252" s="57" t="s">
        <v>158</v>
      </c>
      <c r="H252" s="57" t="s">
        <v>70</v>
      </c>
      <c r="I252" s="57" t="s">
        <v>1001</v>
      </c>
      <c r="J252" s="57" t="s">
        <v>1002</v>
      </c>
      <c r="K252" s="57"/>
      <c r="L252" s="52" t="str">
        <f>HYPERLINK("https://zibs.nl/wiki/Toedieningsafspraak-v1.0.1(2017NL)#ToedieningsafspraakAanvullendeInformatieCodelijst","ToedieningsafspraakAanvullendeInformatieCodelijst")</f>
        <v>ToedieningsafspraakAanvullendeInformatieCodelijst</v>
      </c>
      <c r="M252" s="57"/>
      <c r="N252" s="53" t="s">
        <v>106</v>
      </c>
      <c r="O252" s="54"/>
    </row>
    <row r="253" spans="1:15" ht="38.25" x14ac:dyDescent="0.25">
      <c r="A253" s="49" t="s">
        <v>966</v>
      </c>
      <c r="B253" s="61" t="s">
        <v>967</v>
      </c>
      <c r="C253" s="61" t="s">
        <v>66</v>
      </c>
      <c r="D253" s="61"/>
      <c r="E253" s="57" t="s">
        <v>67</v>
      </c>
      <c r="F253" s="57" t="s">
        <v>68</v>
      </c>
      <c r="G253" s="57" t="s">
        <v>69</v>
      </c>
      <c r="H253" s="57" t="s">
        <v>70</v>
      </c>
      <c r="I253" s="57" t="s">
        <v>1003</v>
      </c>
      <c r="J253" s="57" t="s">
        <v>1004</v>
      </c>
      <c r="K253" s="57" t="s">
        <v>73</v>
      </c>
      <c r="L253" s="52" t="str">
        <f>HYPERLINK("https://zibs.nl/wiki/Toedieningsafspraak-v1.0.1(2017NL)#","")</f>
        <v/>
      </c>
      <c r="M253" s="57"/>
      <c r="N253" s="53" t="s">
        <v>106</v>
      </c>
      <c r="O253" s="54"/>
    </row>
    <row r="254" spans="1:15" ht="15" x14ac:dyDescent="0.25">
      <c r="A254" s="49" t="s">
        <v>850</v>
      </c>
      <c r="B254" s="49" t="s">
        <v>1005</v>
      </c>
      <c r="C254" s="49" t="s">
        <v>850</v>
      </c>
      <c r="D254" s="49"/>
      <c r="E254" s="51" t="s">
        <v>851</v>
      </c>
      <c r="F254" s="51"/>
      <c r="G254" s="51"/>
      <c r="H254" s="51" t="s">
        <v>62</v>
      </c>
      <c r="I254" s="51" t="s">
        <v>1006</v>
      </c>
      <c r="J254" s="51" t="s">
        <v>1007</v>
      </c>
      <c r="K254" s="51"/>
      <c r="L254" s="52" t="str">
        <f>HYPERLINK("https://zibs.nl/wiki/Vaccinatie-v3.1(2017NL)#","")</f>
        <v/>
      </c>
      <c r="M254" s="51"/>
      <c r="N254" s="53" t="s">
        <v>106</v>
      </c>
      <c r="O254" s="54"/>
    </row>
    <row r="255" spans="1:15" ht="63.75" x14ac:dyDescent="0.25">
      <c r="A255" s="49" t="s">
        <v>850</v>
      </c>
      <c r="B255" s="61" t="s">
        <v>1005</v>
      </c>
      <c r="C255" s="61" t="s">
        <v>1008</v>
      </c>
      <c r="D255" s="61"/>
      <c r="E255" s="57" t="s">
        <v>1009</v>
      </c>
      <c r="F255" s="57" t="s">
        <v>76</v>
      </c>
      <c r="G255" s="57" t="s">
        <v>69</v>
      </c>
      <c r="H255" s="57" t="s">
        <v>70</v>
      </c>
      <c r="I255" s="57" t="s">
        <v>1010</v>
      </c>
      <c r="J255" s="57" t="s">
        <v>1011</v>
      </c>
      <c r="K255" s="57"/>
      <c r="L255" s="52" t="str">
        <f>HYPERLINK("https://zibs.nl/wiki/Vaccinatie-v3.1(2017NL)#ProductCodeATCCodelijst","ProductCodeATCCodelijst")</f>
        <v>ProductCodeATCCodelijst</v>
      </c>
      <c r="M255" s="57"/>
      <c r="N255" s="53" t="s">
        <v>106</v>
      </c>
      <c r="O255" s="54"/>
    </row>
    <row r="256" spans="1:15" ht="63.75" x14ac:dyDescent="0.25">
      <c r="A256" s="49" t="s">
        <v>850</v>
      </c>
      <c r="B256" s="63" t="s">
        <v>1005</v>
      </c>
      <c r="C256" s="61" t="s">
        <v>1008</v>
      </c>
      <c r="D256" s="61"/>
      <c r="E256" s="57" t="s">
        <v>1009</v>
      </c>
      <c r="F256" s="57" t="s">
        <v>76</v>
      </c>
      <c r="G256" s="57" t="s">
        <v>69</v>
      </c>
      <c r="H256" s="57" t="s">
        <v>70</v>
      </c>
      <c r="I256" s="57" t="s">
        <v>1010</v>
      </c>
      <c r="J256" s="57" t="s">
        <v>1011</v>
      </c>
      <c r="K256" s="57"/>
      <c r="L256" s="52" t="str">
        <f>HYPERLINK("https://zibs.nl/wiki/Vaccinatie-v3.1(2017NL)#ProductCodeGPKCodelijst","ProductCodeGPKCodelijst")</f>
        <v>ProductCodeGPKCodelijst</v>
      </c>
      <c r="M256" s="57"/>
      <c r="N256" s="53" t="s">
        <v>106</v>
      </c>
      <c r="O256" s="54"/>
    </row>
    <row r="257" spans="1:15" ht="63.75" x14ac:dyDescent="0.25">
      <c r="A257" s="49" t="s">
        <v>850</v>
      </c>
      <c r="B257" s="64" t="s">
        <v>1005</v>
      </c>
      <c r="C257" s="61" t="s">
        <v>1008</v>
      </c>
      <c r="D257" s="61"/>
      <c r="E257" s="57" t="s">
        <v>1009</v>
      </c>
      <c r="F257" s="57" t="s">
        <v>76</v>
      </c>
      <c r="G257" s="57" t="s">
        <v>69</v>
      </c>
      <c r="H257" s="57" t="s">
        <v>70</v>
      </c>
      <c r="I257" s="57" t="s">
        <v>1010</v>
      </c>
      <c r="J257" s="57" t="s">
        <v>1011</v>
      </c>
      <c r="K257" s="57"/>
      <c r="L257" s="52" t="str">
        <f>HYPERLINK("https://zibs.nl/wiki/Vaccinatie-v3.1(2017NL)#ProductCodeGTINCodelijst","ProductCodeGTINCodelijst")</f>
        <v>ProductCodeGTINCodelijst</v>
      </c>
      <c r="M257" s="57"/>
      <c r="N257" s="53" t="s">
        <v>106</v>
      </c>
      <c r="O257" s="54"/>
    </row>
    <row r="258" spans="1:15" ht="63.75" x14ac:dyDescent="0.25">
      <c r="A258" s="49" t="s">
        <v>850</v>
      </c>
      <c r="B258" s="64" t="s">
        <v>1005</v>
      </c>
      <c r="C258" s="61" t="s">
        <v>1008</v>
      </c>
      <c r="D258" s="61"/>
      <c r="E258" s="57" t="s">
        <v>1009</v>
      </c>
      <c r="F258" s="57" t="s">
        <v>76</v>
      </c>
      <c r="G258" s="57" t="s">
        <v>69</v>
      </c>
      <c r="H258" s="57" t="s">
        <v>70</v>
      </c>
      <c r="I258" s="57" t="s">
        <v>1010</v>
      </c>
      <c r="J258" s="57" t="s">
        <v>1011</v>
      </c>
      <c r="K258" s="57"/>
      <c r="L258" s="52" t="str">
        <f>HYPERLINK("https://zibs.nl/wiki/Vaccinatie-v3.1(2017NL)#ProductCodeHPKCodelijst","ProductCodeHPKCodelijst")</f>
        <v>ProductCodeHPKCodelijst</v>
      </c>
      <c r="M258" s="57"/>
      <c r="N258" s="53" t="s">
        <v>106</v>
      </c>
      <c r="O258" s="54"/>
    </row>
    <row r="259" spans="1:15" ht="63.75" x14ac:dyDescent="0.25">
      <c r="A259" s="49" t="s">
        <v>850</v>
      </c>
      <c r="B259" s="64" t="s">
        <v>1005</v>
      </c>
      <c r="C259" s="61" t="s">
        <v>1008</v>
      </c>
      <c r="D259" s="61"/>
      <c r="E259" s="57" t="s">
        <v>1009</v>
      </c>
      <c r="F259" s="57" t="s">
        <v>76</v>
      </c>
      <c r="G259" s="57" t="s">
        <v>69</v>
      </c>
      <c r="H259" s="57" t="s">
        <v>70</v>
      </c>
      <c r="I259" s="57" t="s">
        <v>1010</v>
      </c>
      <c r="J259" s="57" t="s">
        <v>1011</v>
      </c>
      <c r="K259" s="57"/>
      <c r="L259" s="52" t="str">
        <f>HYPERLINK("https://zibs.nl/wiki/Vaccinatie-v3.1(2017NL)#ProductCodePRKCodelijst","ProductCodePRKCodelijst")</f>
        <v>ProductCodePRKCodelijst</v>
      </c>
      <c r="M259" s="57"/>
      <c r="N259" s="53" t="s">
        <v>106</v>
      </c>
      <c r="O259" s="54"/>
    </row>
    <row r="260" spans="1:15" ht="63.75" x14ac:dyDescent="0.25">
      <c r="A260" s="49" t="s">
        <v>850</v>
      </c>
      <c r="B260" s="65" t="s">
        <v>1005</v>
      </c>
      <c r="C260" s="61" t="s">
        <v>1008</v>
      </c>
      <c r="D260" s="61"/>
      <c r="E260" s="57" t="s">
        <v>1009</v>
      </c>
      <c r="F260" s="57" t="s">
        <v>76</v>
      </c>
      <c r="G260" s="57" t="s">
        <v>69</v>
      </c>
      <c r="H260" s="57" t="s">
        <v>70</v>
      </c>
      <c r="I260" s="57" t="s">
        <v>1010</v>
      </c>
      <c r="J260" s="57" t="s">
        <v>1011</v>
      </c>
      <c r="K260" s="57"/>
      <c r="L260" s="52" t="str">
        <f>HYPERLINK("https://zibs.nl/wiki/Vaccinatie-v3.1(2017NL)#ProductCodeZICodelijst","ProductCodeZICodelijst")</f>
        <v>ProductCodeZICodelijst</v>
      </c>
      <c r="M260" s="57"/>
      <c r="N260" s="53" t="s">
        <v>106</v>
      </c>
      <c r="O260" s="54"/>
    </row>
    <row r="261" spans="1:15" ht="25.5" x14ac:dyDescent="0.25">
      <c r="A261" s="49" t="s">
        <v>850</v>
      </c>
      <c r="B261" s="61" t="s">
        <v>1005</v>
      </c>
      <c r="C261" s="61" t="s">
        <v>1012</v>
      </c>
      <c r="D261" s="61"/>
      <c r="E261" s="57" t="s">
        <v>1013</v>
      </c>
      <c r="F261" s="57" t="s">
        <v>97</v>
      </c>
      <c r="G261" s="57" t="s">
        <v>69</v>
      </c>
      <c r="H261" s="57" t="s">
        <v>70</v>
      </c>
      <c r="I261" s="57" t="s">
        <v>1014</v>
      </c>
      <c r="J261" s="57" t="s">
        <v>1015</v>
      </c>
      <c r="K261" s="57"/>
      <c r="L261" s="52" t="str">
        <f>HYPERLINK("https://zibs.nl/wiki/Vaccinatie-v3.1(2017NL)#","")</f>
        <v/>
      </c>
      <c r="M261" s="57"/>
      <c r="N261" s="53" t="s">
        <v>106</v>
      </c>
      <c r="O261" s="54"/>
    </row>
    <row r="262" spans="1:15" ht="15" x14ac:dyDescent="0.25">
      <c r="A262" s="49" t="s">
        <v>850</v>
      </c>
      <c r="B262" s="61" t="s">
        <v>1005</v>
      </c>
      <c r="C262" s="61" t="s">
        <v>1016</v>
      </c>
      <c r="D262" s="61"/>
      <c r="E262" s="57" t="s">
        <v>1017</v>
      </c>
      <c r="F262" s="57" t="s">
        <v>88</v>
      </c>
      <c r="G262" s="57" t="s">
        <v>77</v>
      </c>
      <c r="H262" s="57" t="s">
        <v>70</v>
      </c>
      <c r="I262" s="57" t="s">
        <v>1018</v>
      </c>
      <c r="J262" s="57" t="s">
        <v>1019</v>
      </c>
      <c r="K262" s="57"/>
      <c r="L262" s="52" t="str">
        <f>HYPERLINK("https://zibs.nl/wiki/Vaccinatie-v3.1(2017NL)#","")</f>
        <v/>
      </c>
      <c r="M262" s="57"/>
      <c r="N262" s="53" t="s">
        <v>106</v>
      </c>
      <c r="O262" s="54"/>
    </row>
    <row r="263" spans="1:15" ht="38.25" x14ac:dyDescent="0.25">
      <c r="A263" s="49" t="s">
        <v>850</v>
      </c>
      <c r="B263" s="61" t="s">
        <v>1005</v>
      </c>
      <c r="C263" s="61" t="s">
        <v>1020</v>
      </c>
      <c r="D263" s="61"/>
      <c r="E263" s="57" t="s">
        <v>1021</v>
      </c>
      <c r="F263" s="57" t="s">
        <v>88</v>
      </c>
      <c r="G263" s="57" t="s">
        <v>69</v>
      </c>
      <c r="H263" s="57" t="s">
        <v>70</v>
      </c>
      <c r="I263" s="57" t="s">
        <v>1022</v>
      </c>
      <c r="J263" s="57" t="s">
        <v>1023</v>
      </c>
      <c r="K263" s="57"/>
      <c r="L263" s="52" t="str">
        <f>HYPERLINK("https://zibs.nl/wiki/Vaccinatie-v3.1(2017NL)#","")</f>
        <v/>
      </c>
      <c r="M263" s="57"/>
      <c r="N263" s="53" t="s">
        <v>106</v>
      </c>
      <c r="O263" s="54"/>
    </row>
    <row r="264" spans="1:15" ht="38.25" x14ac:dyDescent="0.25">
      <c r="A264" s="49" t="s">
        <v>850</v>
      </c>
      <c r="B264" s="61" t="s">
        <v>1005</v>
      </c>
      <c r="C264" s="61" t="s">
        <v>1024</v>
      </c>
      <c r="D264" s="61"/>
      <c r="E264" s="57" t="s">
        <v>1025</v>
      </c>
      <c r="F264" s="57"/>
      <c r="G264" s="57" t="s">
        <v>69</v>
      </c>
      <c r="H264" s="57" t="s">
        <v>399</v>
      </c>
      <c r="I264" s="57" t="s">
        <v>1026</v>
      </c>
      <c r="J264" s="57" t="s">
        <v>1027</v>
      </c>
      <c r="K264" s="57"/>
      <c r="L264" s="62" t="s">
        <v>816</v>
      </c>
      <c r="M264" s="57"/>
      <c r="N264" s="53" t="s">
        <v>106</v>
      </c>
      <c r="O264" s="54"/>
    </row>
    <row r="265" spans="1:15" ht="76.5" x14ac:dyDescent="0.25">
      <c r="A265" s="49" t="s">
        <v>850</v>
      </c>
      <c r="B265" s="61" t="s">
        <v>1005</v>
      </c>
      <c r="C265" s="61" t="s">
        <v>66</v>
      </c>
      <c r="D265" s="61"/>
      <c r="E265" s="57" t="s">
        <v>67</v>
      </c>
      <c r="F265" s="57" t="s">
        <v>68</v>
      </c>
      <c r="G265" s="57" t="s">
        <v>69</v>
      </c>
      <c r="H265" s="57" t="s">
        <v>70</v>
      </c>
      <c r="I265" s="57" t="s">
        <v>1028</v>
      </c>
      <c r="J265" s="57" t="s">
        <v>1029</v>
      </c>
      <c r="K265" s="57" t="s">
        <v>73</v>
      </c>
      <c r="L265" s="52" t="str">
        <f>HYPERLINK("https://zibs.nl/wiki/Vaccinatie-v3.1(2017NL)#","")</f>
        <v/>
      </c>
      <c r="M265" s="57"/>
      <c r="N265" s="53" t="s">
        <v>106</v>
      </c>
      <c r="O265" s="54"/>
    </row>
    <row r="266" spans="1:15" ht="25.5" x14ac:dyDescent="0.25">
      <c r="A266" s="49" t="s">
        <v>19</v>
      </c>
      <c r="B266" s="49" t="s">
        <v>1030</v>
      </c>
      <c r="C266" s="49" t="s">
        <v>19</v>
      </c>
      <c r="D266" s="49"/>
      <c r="E266" s="51" t="s">
        <v>419</v>
      </c>
      <c r="F266" s="51"/>
      <c r="G266" s="51"/>
      <c r="H266" s="51" t="s">
        <v>62</v>
      </c>
      <c r="I266" s="51" t="s">
        <v>1031</v>
      </c>
      <c r="J266" s="51" t="s">
        <v>1032</v>
      </c>
      <c r="K266" s="51" t="s">
        <v>1033</v>
      </c>
      <c r="L266" s="52" t="str">
        <f>HYPERLINK("https://zibs.nl/wiki/Verrichting-v4.1(2017NL)#","")</f>
        <v/>
      </c>
      <c r="M266" s="51"/>
      <c r="N266" s="53" t="s">
        <v>106</v>
      </c>
      <c r="O266" s="54"/>
    </row>
    <row r="267" spans="1:15" ht="25.5" x14ac:dyDescent="0.25">
      <c r="A267" s="49" t="s">
        <v>19</v>
      </c>
      <c r="B267" s="61" t="s">
        <v>1030</v>
      </c>
      <c r="C267" s="61" t="s">
        <v>1034</v>
      </c>
      <c r="D267" s="61"/>
      <c r="E267" s="57" t="s">
        <v>1035</v>
      </c>
      <c r="F267" s="57" t="s">
        <v>88</v>
      </c>
      <c r="G267" s="57" t="s">
        <v>69</v>
      </c>
      <c r="H267" s="57" t="s">
        <v>70</v>
      </c>
      <c r="I267" s="57" t="s">
        <v>1036</v>
      </c>
      <c r="J267" s="57" t="s">
        <v>1037</v>
      </c>
      <c r="K267" s="57"/>
      <c r="L267" s="52" t="str">
        <f>HYPERLINK("https://zibs.nl/wiki/Verrichting-v4.1(2017NL)#","")</f>
        <v/>
      </c>
      <c r="M267" s="57"/>
      <c r="N267" s="53" t="s">
        <v>106</v>
      </c>
      <c r="O267" s="54"/>
    </row>
    <row r="268" spans="1:15" ht="38.25" x14ac:dyDescent="0.25">
      <c r="A268" s="49" t="s">
        <v>19</v>
      </c>
      <c r="B268" s="61" t="s">
        <v>1030</v>
      </c>
      <c r="C268" s="61" t="s">
        <v>1038</v>
      </c>
      <c r="D268" s="61"/>
      <c r="E268" s="57" t="s">
        <v>1039</v>
      </c>
      <c r="F268" s="57" t="s">
        <v>88</v>
      </c>
      <c r="G268" s="57" t="s">
        <v>69</v>
      </c>
      <c r="H268" s="57" t="s">
        <v>70</v>
      </c>
      <c r="I268" s="57" t="s">
        <v>1040</v>
      </c>
      <c r="J268" s="57" t="s">
        <v>1041</v>
      </c>
      <c r="K268" s="57"/>
      <c r="L268" s="52" t="str">
        <f>HYPERLINK("https://zibs.nl/wiki/Verrichting-v4.1(2017NL)#","")</f>
        <v/>
      </c>
      <c r="M268" s="57"/>
      <c r="N268" s="53" t="s">
        <v>106</v>
      </c>
      <c r="O268" s="54"/>
    </row>
    <row r="269" spans="1:15" ht="38.25" x14ac:dyDescent="0.25">
      <c r="A269" s="49" t="s">
        <v>19</v>
      </c>
      <c r="B269" s="61" t="s">
        <v>1030</v>
      </c>
      <c r="C269" s="61" t="s">
        <v>1042</v>
      </c>
      <c r="D269" s="61"/>
      <c r="E269" s="57" t="s">
        <v>1043</v>
      </c>
      <c r="F269" s="57" t="s">
        <v>76</v>
      </c>
      <c r="G269" s="57" t="s">
        <v>69</v>
      </c>
      <c r="H269" s="57" t="s">
        <v>70</v>
      </c>
      <c r="I269" s="57" t="s">
        <v>1044</v>
      </c>
      <c r="J269" s="57" t="s">
        <v>906</v>
      </c>
      <c r="K269" s="57" t="s">
        <v>907</v>
      </c>
      <c r="L269" s="52" t="str">
        <f>HYPERLINK("https://zibs.nl/wiki/Verrichting-v4.1(2017NL)#VerrichtingAnatomischeLocatieCodelijst","VerrichtingAnatomischeLocatieCodelijst")</f>
        <v>VerrichtingAnatomischeLocatieCodelijst</v>
      </c>
      <c r="M269" s="57"/>
      <c r="N269" s="53" t="s">
        <v>106</v>
      </c>
      <c r="O269" s="54"/>
    </row>
    <row r="270" spans="1:15" ht="25.5" x14ac:dyDescent="0.25">
      <c r="A270" s="49" t="s">
        <v>19</v>
      </c>
      <c r="B270" s="61" t="s">
        <v>1030</v>
      </c>
      <c r="C270" s="61" t="s">
        <v>1045</v>
      </c>
      <c r="D270" s="61"/>
      <c r="E270" s="57" t="s">
        <v>1046</v>
      </c>
      <c r="F270" s="57" t="s">
        <v>76</v>
      </c>
      <c r="G270" s="57" t="s">
        <v>69</v>
      </c>
      <c r="H270" s="57" t="s">
        <v>70</v>
      </c>
      <c r="I270" s="57" t="s">
        <v>1047</v>
      </c>
      <c r="J270" s="57" t="s">
        <v>551</v>
      </c>
      <c r="K270" s="57" t="s">
        <v>552</v>
      </c>
      <c r="L270" s="52" t="str">
        <f>HYPERLINK("https://zibs.nl/wiki/Verrichting-v4.1(2017NL)#VerrichtingLateraliteitCodelijst","VerrichtingLateraliteitCodelijst")</f>
        <v>VerrichtingLateraliteitCodelijst</v>
      </c>
      <c r="M270" s="57"/>
      <c r="N270" s="53" t="s">
        <v>106</v>
      </c>
      <c r="O270" s="54"/>
    </row>
    <row r="271" spans="1:15" ht="25.5" x14ac:dyDescent="0.25">
      <c r="A271" s="49" t="s">
        <v>19</v>
      </c>
      <c r="B271" s="61" t="s">
        <v>1030</v>
      </c>
      <c r="C271" s="61" t="s">
        <v>799</v>
      </c>
      <c r="D271" s="61"/>
      <c r="E271" s="57" t="s">
        <v>800</v>
      </c>
      <c r="F271" s="57"/>
      <c r="G271" s="57" t="s">
        <v>158</v>
      </c>
      <c r="H271" s="57" t="s">
        <v>110</v>
      </c>
      <c r="I271" s="57" t="s">
        <v>1048</v>
      </c>
      <c r="J271" s="57" t="s">
        <v>1049</v>
      </c>
      <c r="K271" s="57" t="s">
        <v>1050</v>
      </c>
      <c r="L271" s="62" t="s">
        <v>1051</v>
      </c>
      <c r="M271" s="57"/>
      <c r="N271" s="53" t="s">
        <v>106</v>
      </c>
      <c r="O271" s="54"/>
    </row>
    <row r="272" spans="1:15" ht="76.5" x14ac:dyDescent="0.25">
      <c r="A272" s="49" t="s">
        <v>19</v>
      </c>
      <c r="B272" s="61" t="s">
        <v>1030</v>
      </c>
      <c r="C272" s="61" t="s">
        <v>1052</v>
      </c>
      <c r="D272" s="61"/>
      <c r="E272" s="57" t="s">
        <v>1053</v>
      </c>
      <c r="F272" s="57" t="s">
        <v>76</v>
      </c>
      <c r="G272" s="57" t="s">
        <v>77</v>
      </c>
      <c r="H272" s="57" t="s">
        <v>70</v>
      </c>
      <c r="I272" s="57" t="s">
        <v>1054</v>
      </c>
      <c r="J272" s="57" t="s">
        <v>1055</v>
      </c>
      <c r="K272" s="57"/>
      <c r="L272" s="52" t="str">
        <f>HYPERLINK("https://zibs.nl/wiki/Verrichting-v4.1(2017NL)#VerrichtingTypeCodelijst","VerrichtingTypeCodelijst")</f>
        <v>VerrichtingTypeCodelijst</v>
      </c>
      <c r="M272" s="57"/>
      <c r="N272" s="53" t="s">
        <v>106</v>
      </c>
      <c r="O272" s="54"/>
    </row>
    <row r="273" spans="1:15" ht="25.5" x14ac:dyDescent="0.25">
      <c r="A273" s="49" t="s">
        <v>19</v>
      </c>
      <c r="B273" s="61" t="s">
        <v>1030</v>
      </c>
      <c r="C273" s="61" t="s">
        <v>1056</v>
      </c>
      <c r="D273" s="61"/>
      <c r="E273" s="57" t="s">
        <v>1057</v>
      </c>
      <c r="F273" s="57" t="s">
        <v>76</v>
      </c>
      <c r="G273" s="57" t="s">
        <v>158</v>
      </c>
      <c r="H273" s="57" t="s">
        <v>70</v>
      </c>
      <c r="I273" s="57" t="s">
        <v>1058</v>
      </c>
      <c r="J273" s="57" t="s">
        <v>1059</v>
      </c>
      <c r="K273" s="57" t="s">
        <v>1060</v>
      </c>
      <c r="L273" s="52" t="str">
        <f>HYPERLINK("https://zibs.nl/wiki/Verrichting-v4.1(2017NL)#VerrichtingMethodeCodelijst","VerrichtingMethodeCodelijst")</f>
        <v>VerrichtingMethodeCodelijst</v>
      </c>
      <c r="M273" s="57"/>
      <c r="N273" s="53" t="s">
        <v>106</v>
      </c>
      <c r="O273" s="54"/>
    </row>
    <row r="274" spans="1:15" ht="25.5" x14ac:dyDescent="0.25">
      <c r="A274" s="49" t="s">
        <v>19</v>
      </c>
      <c r="B274" s="61" t="s">
        <v>1030</v>
      </c>
      <c r="C274" s="61" t="s">
        <v>773</v>
      </c>
      <c r="D274" s="61"/>
      <c r="E274" s="57" t="s">
        <v>775</v>
      </c>
      <c r="F274" s="57"/>
      <c r="G274" s="57" t="s">
        <v>158</v>
      </c>
      <c r="H274" s="57" t="s">
        <v>110</v>
      </c>
      <c r="I274" s="57" t="s">
        <v>1061</v>
      </c>
      <c r="J274" s="57" t="s">
        <v>1062</v>
      </c>
      <c r="K274" s="57" t="s">
        <v>783</v>
      </c>
      <c r="L274" s="62" t="s">
        <v>488</v>
      </c>
      <c r="M274" s="57"/>
      <c r="N274" s="53" t="s">
        <v>106</v>
      </c>
      <c r="O274" s="54"/>
    </row>
    <row r="275" spans="1:15" ht="38.25" x14ac:dyDescent="0.25">
      <c r="A275" s="49" t="s">
        <v>19</v>
      </c>
      <c r="B275" s="61" t="s">
        <v>1030</v>
      </c>
      <c r="C275" s="61" t="s">
        <v>403</v>
      </c>
      <c r="D275" s="61"/>
      <c r="E275" s="57" t="s">
        <v>404</v>
      </c>
      <c r="F275" s="57"/>
      <c r="G275" s="57" t="s">
        <v>69</v>
      </c>
      <c r="H275" s="57" t="s">
        <v>399</v>
      </c>
      <c r="I275" s="57" t="s">
        <v>1063</v>
      </c>
      <c r="J275" s="57" t="s">
        <v>1064</v>
      </c>
      <c r="K275" s="57"/>
      <c r="L275" s="62" t="s">
        <v>975</v>
      </c>
      <c r="M275" s="57"/>
      <c r="N275" s="53" t="s">
        <v>106</v>
      </c>
      <c r="O275" s="54"/>
    </row>
    <row r="276" spans="1:15" ht="38.25" x14ac:dyDescent="0.25">
      <c r="A276" s="49" t="s">
        <v>19</v>
      </c>
      <c r="B276" s="61" t="s">
        <v>1030</v>
      </c>
      <c r="C276" s="61" t="s">
        <v>1065</v>
      </c>
      <c r="D276" s="61"/>
      <c r="E276" s="57" t="s">
        <v>1066</v>
      </c>
      <c r="F276" s="57"/>
      <c r="G276" s="57" t="s">
        <v>158</v>
      </c>
      <c r="H276" s="57" t="s">
        <v>399</v>
      </c>
      <c r="I276" s="57" t="s">
        <v>1067</v>
      </c>
      <c r="J276" s="57" t="s">
        <v>1068</v>
      </c>
      <c r="K276" s="57"/>
      <c r="L276" s="62" t="s">
        <v>402</v>
      </c>
      <c r="M276" s="57"/>
      <c r="N276" s="53" t="s">
        <v>106</v>
      </c>
      <c r="O276" s="54"/>
    </row>
    <row r="277" spans="1:15" ht="38.25" x14ac:dyDescent="0.25">
      <c r="A277" s="49" t="s">
        <v>19</v>
      </c>
      <c r="B277" s="61" t="s">
        <v>1030</v>
      </c>
      <c r="C277" s="61" t="s">
        <v>634</v>
      </c>
      <c r="D277" s="61"/>
      <c r="E277" s="57" t="s">
        <v>635</v>
      </c>
      <c r="F277" s="57"/>
      <c r="G277" s="57" t="s">
        <v>158</v>
      </c>
      <c r="H277" s="57" t="s">
        <v>399</v>
      </c>
      <c r="I277" s="57" t="s">
        <v>1069</v>
      </c>
      <c r="J277" s="57" t="s">
        <v>1070</v>
      </c>
      <c r="K277" s="57"/>
      <c r="L277" s="62" t="s">
        <v>402</v>
      </c>
      <c r="M277" s="57"/>
      <c r="N277" s="53" t="s">
        <v>106</v>
      </c>
      <c r="O277" s="54"/>
    </row>
    <row r="278" spans="1:15" ht="25.5" x14ac:dyDescent="0.25">
      <c r="A278" s="49" t="s">
        <v>1071</v>
      </c>
      <c r="B278" s="49" t="s">
        <v>1072</v>
      </c>
      <c r="C278" s="49" t="s">
        <v>1071</v>
      </c>
      <c r="D278" s="49"/>
      <c r="E278" s="51" t="s">
        <v>1073</v>
      </c>
      <c r="F278" s="51"/>
      <c r="G278" s="51"/>
      <c r="H278" s="51" t="s">
        <v>62</v>
      </c>
      <c r="I278" s="51" t="s">
        <v>1074</v>
      </c>
      <c r="J278" s="51" t="s">
        <v>1075</v>
      </c>
      <c r="K278" s="51" t="s">
        <v>1076</v>
      </c>
      <c r="L278" s="52" t="str">
        <f>HYPERLINK("https://zibs.nl/wiki/Voedingsadvies-v3.1(2017NL)#","")</f>
        <v/>
      </c>
      <c r="M278" s="51"/>
      <c r="N278" s="53" t="s">
        <v>106</v>
      </c>
      <c r="O278" s="54"/>
    </row>
    <row r="279" spans="1:15" ht="25.5" x14ac:dyDescent="0.25">
      <c r="A279" s="49" t="s">
        <v>1071</v>
      </c>
      <c r="B279" s="61" t="s">
        <v>1072</v>
      </c>
      <c r="C279" s="61" t="s">
        <v>1077</v>
      </c>
      <c r="D279" s="61"/>
      <c r="E279" s="57" t="s">
        <v>1078</v>
      </c>
      <c r="F279" s="57" t="s">
        <v>68</v>
      </c>
      <c r="G279" s="57" t="s">
        <v>69</v>
      </c>
      <c r="H279" s="57" t="s">
        <v>70</v>
      </c>
      <c r="I279" s="57" t="s">
        <v>1079</v>
      </c>
      <c r="J279" s="57" t="s">
        <v>1080</v>
      </c>
      <c r="K279" s="57" t="s">
        <v>1081</v>
      </c>
      <c r="L279" s="52" t="str">
        <f>HYPERLINK("https://zibs.nl/wiki/Voedingsadvies-v3.1(2017NL)#","")</f>
        <v/>
      </c>
      <c r="M279" s="57"/>
      <c r="N279" s="53" t="s">
        <v>106</v>
      </c>
      <c r="O279" s="54"/>
    </row>
    <row r="280" spans="1:15" ht="25.5" x14ac:dyDescent="0.25">
      <c r="A280" s="49" t="s">
        <v>1071</v>
      </c>
      <c r="B280" s="61" t="s">
        <v>1072</v>
      </c>
      <c r="C280" s="61" t="s">
        <v>1082</v>
      </c>
      <c r="D280" s="61"/>
      <c r="E280" s="57" t="s">
        <v>1083</v>
      </c>
      <c r="F280" s="57" t="s">
        <v>68</v>
      </c>
      <c r="G280" s="57" t="s">
        <v>69</v>
      </c>
      <c r="H280" s="57" t="s">
        <v>70</v>
      </c>
      <c r="I280" s="57" t="s">
        <v>1084</v>
      </c>
      <c r="J280" s="57" t="s">
        <v>1085</v>
      </c>
      <c r="K280" s="57" t="s">
        <v>1086</v>
      </c>
      <c r="L280" s="52" t="str">
        <f>HYPERLINK("https://zibs.nl/wiki/Voedingsadvies-v3.1(2017NL)#","")</f>
        <v/>
      </c>
      <c r="M280" s="57"/>
      <c r="N280" s="53" t="s">
        <v>106</v>
      </c>
      <c r="O280" s="54"/>
    </row>
    <row r="281" spans="1:15" ht="25.5" x14ac:dyDescent="0.25">
      <c r="A281" s="49" t="s">
        <v>1071</v>
      </c>
      <c r="B281" s="61" t="s">
        <v>1072</v>
      </c>
      <c r="C281" s="61" t="s">
        <v>66</v>
      </c>
      <c r="D281" s="61"/>
      <c r="E281" s="57" t="s">
        <v>67</v>
      </c>
      <c r="F281" s="57" t="s">
        <v>68</v>
      </c>
      <c r="G281" s="57" t="s">
        <v>69</v>
      </c>
      <c r="H281" s="57" t="s">
        <v>70</v>
      </c>
      <c r="I281" s="57" t="s">
        <v>1087</v>
      </c>
      <c r="J281" s="57" t="s">
        <v>1088</v>
      </c>
      <c r="K281" s="57" t="s">
        <v>73</v>
      </c>
      <c r="L281" s="52" t="str">
        <f>HYPERLINK("https://zibs.nl/wiki/Voedingsadvies-v3.1(2017NL)#","")</f>
        <v/>
      </c>
      <c r="M281" s="57"/>
      <c r="N281" s="53" t="s">
        <v>106</v>
      </c>
      <c r="O281" s="54"/>
    </row>
    <row r="282" spans="1:15" ht="15" x14ac:dyDescent="0.25">
      <c r="A282" s="49" t="s">
        <v>231</v>
      </c>
      <c r="B282" s="49" t="s">
        <v>1089</v>
      </c>
      <c r="C282" s="49" t="s">
        <v>231</v>
      </c>
      <c r="D282" s="49"/>
      <c r="E282" s="51" t="s">
        <v>1090</v>
      </c>
      <c r="F282" s="51"/>
      <c r="G282" s="51"/>
      <c r="H282" s="51" t="s">
        <v>62</v>
      </c>
      <c r="I282" s="51" t="s">
        <v>1091</v>
      </c>
      <c r="J282" s="51" t="s">
        <v>1092</v>
      </c>
      <c r="K282" s="51"/>
      <c r="L282" s="52" t="str">
        <f>HYPERLINK("https://zibs.nl/wiki/Wilsverklaring-v3.1(2017NL)#","")</f>
        <v/>
      </c>
      <c r="M282" s="51"/>
      <c r="N282" s="53" t="s">
        <v>106</v>
      </c>
      <c r="O282" s="54"/>
    </row>
    <row r="283" spans="1:15" ht="15" x14ac:dyDescent="0.25">
      <c r="A283" s="49" t="s">
        <v>231</v>
      </c>
      <c r="B283" s="61" t="s">
        <v>1089</v>
      </c>
      <c r="C283" s="61" t="s">
        <v>1093</v>
      </c>
      <c r="D283" s="61"/>
      <c r="E283" s="57" t="s">
        <v>1094</v>
      </c>
      <c r="F283" s="57" t="s">
        <v>76</v>
      </c>
      <c r="G283" s="57" t="s">
        <v>77</v>
      </c>
      <c r="H283" s="57" t="s">
        <v>70</v>
      </c>
      <c r="I283" s="57" t="s">
        <v>1095</v>
      </c>
      <c r="J283" s="57" t="s">
        <v>1096</v>
      </c>
      <c r="K283" s="57"/>
      <c r="L283" s="52" t="str">
        <f>HYPERLINK("https://zibs.nl/wiki/Wilsverklaring-v3.1(2017NL)#WilsverklaringTypeCodelijst","WilsverklaringTypeCodelijst")</f>
        <v>WilsverklaringTypeCodelijst</v>
      </c>
      <c r="M283" s="57"/>
      <c r="N283" s="53" t="s">
        <v>106</v>
      </c>
      <c r="O283" s="54"/>
    </row>
    <row r="284" spans="1:15" ht="15" x14ac:dyDescent="0.25">
      <c r="A284" s="49" t="s">
        <v>231</v>
      </c>
      <c r="B284" s="61" t="s">
        <v>1089</v>
      </c>
      <c r="C284" s="61" t="s">
        <v>1097</v>
      </c>
      <c r="D284" s="61"/>
      <c r="E284" s="57" t="s">
        <v>1098</v>
      </c>
      <c r="F284" s="57" t="s">
        <v>88</v>
      </c>
      <c r="G284" s="57" t="s">
        <v>77</v>
      </c>
      <c r="H284" s="57" t="s">
        <v>70</v>
      </c>
      <c r="I284" s="57" t="s">
        <v>1099</v>
      </c>
      <c r="J284" s="57" t="s">
        <v>1100</v>
      </c>
      <c r="K284" s="57"/>
      <c r="L284" s="52" t="str">
        <f>HYPERLINK("https://zibs.nl/wiki/Wilsverklaring-v3.1(2017NL)#","")</f>
        <v/>
      </c>
      <c r="M284" s="57"/>
      <c r="N284" s="53" t="s">
        <v>106</v>
      </c>
      <c r="O284" s="54"/>
    </row>
    <row r="285" spans="1:15" ht="25.5" x14ac:dyDescent="0.25">
      <c r="A285" s="49" t="s">
        <v>231</v>
      </c>
      <c r="B285" s="61" t="s">
        <v>1089</v>
      </c>
      <c r="C285" s="61" t="s">
        <v>1101</v>
      </c>
      <c r="D285" s="61"/>
      <c r="E285" s="57" t="s">
        <v>1102</v>
      </c>
      <c r="F285" s="57"/>
      <c r="G285" s="57" t="s">
        <v>158</v>
      </c>
      <c r="H285" s="57" t="s">
        <v>110</v>
      </c>
      <c r="I285" s="57" t="s">
        <v>1103</v>
      </c>
      <c r="J285" s="57" t="s">
        <v>1104</v>
      </c>
      <c r="K285" s="57"/>
      <c r="L285" s="62" t="s">
        <v>113</v>
      </c>
      <c r="M285" s="57"/>
      <c r="N285" s="53" t="s">
        <v>106</v>
      </c>
      <c r="O285" s="54"/>
    </row>
    <row r="286" spans="1:15" ht="25.5" x14ac:dyDescent="0.25">
      <c r="A286" s="49" t="s">
        <v>231</v>
      </c>
      <c r="B286" s="61" t="s">
        <v>1089</v>
      </c>
      <c r="C286" s="61" t="s">
        <v>1105</v>
      </c>
      <c r="D286" s="61"/>
      <c r="E286" s="57" t="s">
        <v>1106</v>
      </c>
      <c r="F286" s="57"/>
      <c r="G286" s="57" t="s">
        <v>69</v>
      </c>
      <c r="H286" s="57" t="s">
        <v>110</v>
      </c>
      <c r="I286" s="57" t="s">
        <v>1107</v>
      </c>
      <c r="J286" s="57" t="s">
        <v>1108</v>
      </c>
      <c r="K286" s="57"/>
      <c r="L286" s="62" t="s">
        <v>1109</v>
      </c>
      <c r="M286" s="57"/>
      <c r="N286" s="53" t="s">
        <v>106</v>
      </c>
      <c r="O286" s="54"/>
    </row>
    <row r="287" spans="1:15" ht="25.5" x14ac:dyDescent="0.25">
      <c r="A287" s="49" t="s">
        <v>231</v>
      </c>
      <c r="B287" s="61" t="s">
        <v>1089</v>
      </c>
      <c r="C287" s="61" t="s">
        <v>1110</v>
      </c>
      <c r="D287" s="61"/>
      <c r="E287" s="57" t="s">
        <v>1111</v>
      </c>
      <c r="F287" s="57" t="s">
        <v>1112</v>
      </c>
      <c r="G287" s="57" t="s">
        <v>69</v>
      </c>
      <c r="H287" s="57" t="s">
        <v>70</v>
      </c>
      <c r="I287" s="57" t="s">
        <v>1113</v>
      </c>
      <c r="J287" s="57" t="s">
        <v>1114</v>
      </c>
      <c r="K287" s="57"/>
      <c r="L287" s="52" t="str">
        <f>HYPERLINK("https://zibs.nl/wiki/Wilsverklaring-v3.1(2017NL)#","")</f>
        <v/>
      </c>
      <c r="M287" s="57"/>
      <c r="N287" s="53" t="s">
        <v>106</v>
      </c>
      <c r="O287" s="54"/>
    </row>
    <row r="288" spans="1:15" ht="25.5" x14ac:dyDescent="0.25">
      <c r="A288" s="49" t="s">
        <v>231</v>
      </c>
      <c r="B288" s="61" t="s">
        <v>1089</v>
      </c>
      <c r="C288" s="61" t="s">
        <v>66</v>
      </c>
      <c r="D288" s="61"/>
      <c r="E288" s="57" t="s">
        <v>67</v>
      </c>
      <c r="F288" s="57" t="s">
        <v>68</v>
      </c>
      <c r="G288" s="57" t="s">
        <v>69</v>
      </c>
      <c r="H288" s="57" t="s">
        <v>70</v>
      </c>
      <c r="I288" s="57" t="s">
        <v>1115</v>
      </c>
      <c r="J288" s="57" t="s">
        <v>1116</v>
      </c>
      <c r="K288" s="57" t="s">
        <v>73</v>
      </c>
      <c r="L288" s="52" t="str">
        <f>HYPERLINK("https://zibs.nl/wiki/Wilsverklaring-v3.1(2017NL)#","")</f>
        <v/>
      </c>
      <c r="M288" s="57"/>
      <c r="N288" s="53" t="s">
        <v>106</v>
      </c>
      <c r="O288" s="54"/>
    </row>
    <row r="289" spans="1:15" ht="51" x14ac:dyDescent="0.25">
      <c r="A289" s="49" t="s">
        <v>1117</v>
      </c>
      <c r="B289" s="49" t="s">
        <v>1118</v>
      </c>
      <c r="C289" s="49" t="s">
        <v>1117</v>
      </c>
      <c r="D289" s="49"/>
      <c r="E289" s="51" t="s">
        <v>1119</v>
      </c>
      <c r="F289" s="51"/>
      <c r="G289" s="51"/>
      <c r="H289" s="51" t="s">
        <v>62</v>
      </c>
      <c r="I289" s="51" t="s">
        <v>1120</v>
      </c>
      <c r="J289" s="51" t="s">
        <v>1121</v>
      </c>
      <c r="K289" s="51" t="s">
        <v>1122</v>
      </c>
      <c r="L289" s="52" t="str">
        <f>HYPERLINK("https://zibs.nl/wiki/Woonsituatie-v3.1(2017NL)#","")</f>
        <v/>
      </c>
      <c r="M289" s="51"/>
      <c r="N289" s="53" t="s">
        <v>106</v>
      </c>
      <c r="O289" s="54"/>
    </row>
    <row r="290" spans="1:15" ht="25.5" x14ac:dyDescent="0.25">
      <c r="A290" s="49" t="s">
        <v>1117</v>
      </c>
      <c r="B290" s="61" t="s">
        <v>1118</v>
      </c>
      <c r="C290" s="61" t="s">
        <v>66</v>
      </c>
      <c r="D290" s="61"/>
      <c r="E290" s="57" t="s">
        <v>67</v>
      </c>
      <c r="F290" s="57" t="s">
        <v>68</v>
      </c>
      <c r="G290" s="57" t="s">
        <v>69</v>
      </c>
      <c r="H290" s="57" t="s">
        <v>70</v>
      </c>
      <c r="I290" s="57" t="s">
        <v>1123</v>
      </c>
      <c r="J290" s="57" t="s">
        <v>1124</v>
      </c>
      <c r="K290" s="57" t="s">
        <v>73</v>
      </c>
      <c r="L290" s="52" t="str">
        <f>HYPERLINK("https://zibs.nl/wiki/Woonsituatie-v3.1(2017NL)#","")</f>
        <v/>
      </c>
      <c r="M290" s="57"/>
      <c r="N290" s="53" t="s">
        <v>106</v>
      </c>
      <c r="O290" s="54"/>
    </row>
    <row r="291" spans="1:15" ht="25.5" x14ac:dyDescent="0.25">
      <c r="A291" s="49" t="s">
        <v>1117</v>
      </c>
      <c r="B291" s="61" t="s">
        <v>1118</v>
      </c>
      <c r="C291" s="61" t="s">
        <v>1125</v>
      </c>
      <c r="D291" s="61"/>
      <c r="E291" s="57" t="s">
        <v>1126</v>
      </c>
      <c r="F291" s="57" t="s">
        <v>76</v>
      </c>
      <c r="G291" s="57" t="s">
        <v>69</v>
      </c>
      <c r="H291" s="57" t="s">
        <v>70</v>
      </c>
      <c r="I291" s="57" t="s">
        <v>1127</v>
      </c>
      <c r="J291" s="57" t="s">
        <v>1128</v>
      </c>
      <c r="K291" s="57"/>
      <c r="L291" s="52" t="str">
        <f>HYPERLINK("https://zibs.nl/wiki/Woonsituatie-v3.1(2017NL)#WoningTypeCodelijst","WoningTypeCodelijst")</f>
        <v>WoningTypeCodelijst</v>
      </c>
      <c r="M291" s="57" t="s">
        <v>1129</v>
      </c>
      <c r="N291" s="53" t="s">
        <v>106</v>
      </c>
      <c r="O291" s="54"/>
    </row>
    <row r="292" spans="1:15" ht="38.25" x14ac:dyDescent="0.25">
      <c r="A292" s="49" t="s">
        <v>812</v>
      </c>
      <c r="B292" s="49" t="s">
        <v>1130</v>
      </c>
      <c r="C292" s="49" t="s">
        <v>812</v>
      </c>
      <c r="D292" s="49"/>
      <c r="E292" s="51" t="s">
        <v>813</v>
      </c>
      <c r="F292" s="51"/>
      <c r="G292" s="51"/>
      <c r="H292" s="51" t="s">
        <v>62</v>
      </c>
      <c r="I292" s="51" t="s">
        <v>1131</v>
      </c>
      <c r="J292" s="51" t="s">
        <v>1132</v>
      </c>
      <c r="K292" s="51"/>
      <c r="L292" s="52" t="str">
        <f>HYPERLINK("https://zibs.nl/wiki/Zorgverlener-v3.2(2017NL)#","")</f>
        <v/>
      </c>
      <c r="M292" s="51"/>
      <c r="N292" s="53" t="s">
        <v>106</v>
      </c>
      <c r="O292" s="54"/>
    </row>
    <row r="293" spans="1:15" ht="102" x14ac:dyDescent="0.25">
      <c r="A293" s="49" t="s">
        <v>812</v>
      </c>
      <c r="B293" s="72" t="s">
        <v>1130</v>
      </c>
      <c r="C293" s="72" t="s">
        <v>1133</v>
      </c>
      <c r="D293" s="72"/>
      <c r="E293" s="57" t="s">
        <v>1134</v>
      </c>
      <c r="F293" s="57" t="s">
        <v>285</v>
      </c>
      <c r="G293" s="57" t="s">
        <v>158</v>
      </c>
      <c r="H293" s="57" t="s">
        <v>70</v>
      </c>
      <c r="I293" s="57" t="s">
        <v>1135</v>
      </c>
      <c r="J293" s="57" t="s">
        <v>1136</v>
      </c>
      <c r="K293" s="57"/>
      <c r="L293" s="52" t="str">
        <f>HYPERLINK("https://zibs.nl/wiki/Zorgverlener-v3.2(2017NL)#BIG register inschrijvingsnummer","BIG register inschrijvingsnummer")</f>
        <v>BIG register inschrijvingsnummer</v>
      </c>
      <c r="M293" s="57"/>
      <c r="N293" s="53" t="s">
        <v>106</v>
      </c>
      <c r="O293" s="54"/>
    </row>
    <row r="294" spans="1:15" ht="102" x14ac:dyDescent="0.25">
      <c r="A294" s="49" t="s">
        <v>812</v>
      </c>
      <c r="B294" s="73" t="s">
        <v>1130</v>
      </c>
      <c r="C294" s="72" t="s">
        <v>1133</v>
      </c>
      <c r="D294" s="72"/>
      <c r="E294" s="57" t="s">
        <v>1134</v>
      </c>
      <c r="F294" s="57" t="s">
        <v>285</v>
      </c>
      <c r="G294" s="57" t="s">
        <v>158</v>
      </c>
      <c r="H294" s="57" t="s">
        <v>70</v>
      </c>
      <c r="I294" s="57" t="s">
        <v>1135</v>
      </c>
      <c r="J294" s="57" t="s">
        <v>1136</v>
      </c>
      <c r="K294" s="57"/>
      <c r="L294" s="52" t="str">
        <f>HYPERLINK("https://zibs.nl/wiki/Zorgverlener-v3.2(2017NL)#UZI nummer natuurlijke personen","UZI nummer natuurlijke personen")</f>
        <v>UZI nummer natuurlijke personen</v>
      </c>
      <c r="M294" s="57"/>
      <c r="N294" s="53" t="s">
        <v>106</v>
      </c>
      <c r="O294" s="54"/>
    </row>
    <row r="295" spans="1:15" ht="102" x14ac:dyDescent="0.25">
      <c r="A295" s="49" t="s">
        <v>812</v>
      </c>
      <c r="B295" s="74" t="s">
        <v>1130</v>
      </c>
      <c r="C295" s="72" t="s">
        <v>1133</v>
      </c>
      <c r="D295" s="72"/>
      <c r="E295" s="57" t="s">
        <v>1134</v>
      </c>
      <c r="F295" s="57" t="s">
        <v>285</v>
      </c>
      <c r="G295" s="57" t="s">
        <v>158</v>
      </c>
      <c r="H295" s="57" t="s">
        <v>70</v>
      </c>
      <c r="I295" s="57" t="s">
        <v>1135</v>
      </c>
      <c r="J295" s="57" t="s">
        <v>1136</v>
      </c>
      <c r="K295" s="57"/>
      <c r="L295" s="75" t="str">
        <f>HYPERLINK("https://zibs.nl/wiki/Zorgverlener-v3.2(2017NL)#Vektis AGB-zorgverlener tabel","Vektis AGB-zorgverlener tabel")</f>
        <v>Vektis AGB-zorgverlener tabel</v>
      </c>
      <c r="M295" s="57"/>
      <c r="N295" s="53" t="s">
        <v>106</v>
      </c>
      <c r="O295" s="54"/>
    </row>
    <row r="296" spans="1:15" ht="25.5" x14ac:dyDescent="0.25">
      <c r="A296" s="49" t="s">
        <v>812</v>
      </c>
      <c r="B296" s="61" t="s">
        <v>1130</v>
      </c>
      <c r="C296" s="61" t="s">
        <v>369</v>
      </c>
      <c r="D296" s="61"/>
      <c r="E296" s="57" t="s">
        <v>370</v>
      </c>
      <c r="F296" s="57"/>
      <c r="G296" s="57" t="s">
        <v>69</v>
      </c>
      <c r="H296" s="57" t="s">
        <v>110</v>
      </c>
      <c r="I296" s="57" t="s">
        <v>1137</v>
      </c>
      <c r="J296" s="57" t="s">
        <v>1138</v>
      </c>
      <c r="K296" s="57"/>
      <c r="L296" s="62" t="s">
        <v>867</v>
      </c>
      <c r="M296" s="57"/>
      <c r="N296" s="53" t="s">
        <v>106</v>
      </c>
      <c r="O296" s="54"/>
    </row>
    <row r="297" spans="1:15" ht="25.5" x14ac:dyDescent="0.25">
      <c r="A297" s="49" t="s">
        <v>812</v>
      </c>
      <c r="B297" s="76" t="s">
        <v>1130</v>
      </c>
      <c r="C297" s="76" t="s">
        <v>1139</v>
      </c>
      <c r="D297" s="76"/>
      <c r="E297" s="57" t="s">
        <v>1140</v>
      </c>
      <c r="F297" s="57" t="s">
        <v>76</v>
      </c>
      <c r="G297" s="57" t="s">
        <v>69</v>
      </c>
      <c r="H297" s="57" t="s">
        <v>70</v>
      </c>
      <c r="I297" s="57" t="s">
        <v>1141</v>
      </c>
      <c r="J297" s="57" t="s">
        <v>1142</v>
      </c>
      <c r="K297" s="57" t="s">
        <v>1143</v>
      </c>
      <c r="L297" s="52" t="str">
        <f>HYPERLINK("https://zibs.nl/wiki/Zorgverlener-v3.2(2017NL)#SpecialismeAGBCodelijst","SpecialismeAGBCodelijst")</f>
        <v>SpecialismeAGBCodelijst</v>
      </c>
      <c r="M297" s="57"/>
      <c r="N297" s="53" t="s">
        <v>106</v>
      </c>
      <c r="O297" s="54"/>
    </row>
    <row r="298" spans="1:15" ht="15" x14ac:dyDescent="0.25">
      <c r="A298" s="77" t="s">
        <v>812</v>
      </c>
      <c r="B298" s="77" t="s">
        <v>1144</v>
      </c>
      <c r="C298" s="77"/>
      <c r="D298" s="77"/>
      <c r="E298" s="57"/>
      <c r="F298" s="57"/>
      <c r="G298" s="57"/>
      <c r="H298" s="57"/>
      <c r="I298" s="57"/>
      <c r="J298" s="57"/>
      <c r="K298" s="57"/>
      <c r="L298" s="52" t="str">
        <f>HYPERLINK("https://zibs.nl/wiki/nl.zorg.Zorgverlener-v3.2(2017NL)#SpecialismeUZICodelijst","SpecialismeUZICodelijst")</f>
        <v>SpecialismeUZICodelijst</v>
      </c>
      <c r="M298" s="57"/>
      <c r="N298" s="53"/>
      <c r="O298" s="54"/>
    </row>
    <row r="299" spans="1:15" ht="25.5" x14ac:dyDescent="0.25">
      <c r="A299" s="49" t="s">
        <v>812</v>
      </c>
      <c r="B299" s="61" t="s">
        <v>1130</v>
      </c>
      <c r="C299" s="61" t="s">
        <v>295</v>
      </c>
      <c r="D299" s="61"/>
      <c r="E299" s="57" t="s">
        <v>296</v>
      </c>
      <c r="F299" s="57"/>
      <c r="G299" s="57" t="s">
        <v>69</v>
      </c>
      <c r="H299" s="57" t="s">
        <v>110</v>
      </c>
      <c r="I299" s="57" t="s">
        <v>1145</v>
      </c>
      <c r="J299" s="57" t="s">
        <v>1146</v>
      </c>
      <c r="K299" s="57"/>
      <c r="L299" s="62" t="s">
        <v>869</v>
      </c>
      <c r="M299" s="57"/>
      <c r="N299" s="53" t="s">
        <v>106</v>
      </c>
      <c r="O299" s="54"/>
    </row>
    <row r="300" spans="1:15" ht="25.5" x14ac:dyDescent="0.25">
      <c r="A300" s="49" t="s">
        <v>812</v>
      </c>
      <c r="B300" s="61" t="s">
        <v>1130</v>
      </c>
      <c r="C300" s="61" t="s">
        <v>300</v>
      </c>
      <c r="D300" s="61"/>
      <c r="E300" s="57" t="s">
        <v>301</v>
      </c>
      <c r="F300" s="57"/>
      <c r="G300" s="57" t="s">
        <v>158</v>
      </c>
      <c r="H300" s="57" t="s">
        <v>110</v>
      </c>
      <c r="I300" s="57" t="s">
        <v>1147</v>
      </c>
      <c r="J300" s="57" t="s">
        <v>1148</v>
      </c>
      <c r="K300" s="57"/>
      <c r="L300" s="62" t="s">
        <v>871</v>
      </c>
      <c r="M300" s="57"/>
      <c r="N300" s="53" t="s">
        <v>106</v>
      </c>
      <c r="O300" s="54"/>
    </row>
    <row r="301" spans="1:15" ht="25.5" x14ac:dyDescent="0.25">
      <c r="A301" s="49" t="s">
        <v>812</v>
      </c>
      <c r="B301" s="61" t="s">
        <v>1130</v>
      </c>
      <c r="C301" s="61" t="s">
        <v>22</v>
      </c>
      <c r="D301" s="61"/>
      <c r="E301" s="57" t="s">
        <v>1149</v>
      </c>
      <c r="F301" s="57"/>
      <c r="G301" s="57" t="s">
        <v>69</v>
      </c>
      <c r="H301" s="57" t="s">
        <v>399</v>
      </c>
      <c r="I301" s="57" t="s">
        <v>1150</v>
      </c>
      <c r="J301" s="57" t="s">
        <v>1151</v>
      </c>
      <c r="K301" s="57"/>
      <c r="L301" s="62" t="s">
        <v>811</v>
      </c>
      <c r="M301" s="57"/>
      <c r="N301" s="53" t="s">
        <v>106</v>
      </c>
      <c r="O301" s="54"/>
    </row>
    <row r="302" spans="1:15" ht="38.25" x14ac:dyDescent="0.25">
      <c r="A302" s="49" t="s">
        <v>812</v>
      </c>
      <c r="B302" s="61" t="s">
        <v>1130</v>
      </c>
      <c r="C302" s="61" t="s">
        <v>1152</v>
      </c>
      <c r="D302" s="61"/>
      <c r="E302" s="57" t="s">
        <v>1153</v>
      </c>
      <c r="F302" s="57" t="s">
        <v>76</v>
      </c>
      <c r="G302" s="57" t="s">
        <v>69</v>
      </c>
      <c r="H302" s="57" t="s">
        <v>70</v>
      </c>
      <c r="I302" s="57" t="s">
        <v>1154</v>
      </c>
      <c r="J302" s="57" t="s">
        <v>1155</v>
      </c>
      <c r="K302" s="57"/>
      <c r="L302" s="52" t="str">
        <f>HYPERLINK("https://zibs.nl/wiki/Zorgverlener-v3.2(2017NL)#ZorgverlenerRolCodelijst","ZorgverlenerRolCodelijst")</f>
        <v>ZorgverlenerRolCodelijst</v>
      </c>
      <c r="M302" s="57"/>
      <c r="N302" s="53" t="s">
        <v>106</v>
      </c>
      <c r="O302" s="54"/>
    </row>
    <row r="303" spans="1:15" ht="15" x14ac:dyDescent="0.25">
      <c r="A303" s="78" t="s">
        <v>1156</v>
      </c>
      <c r="B303" s="61" t="s">
        <v>1157</v>
      </c>
      <c r="C303" s="78" t="s">
        <v>1156</v>
      </c>
      <c r="D303" s="78"/>
      <c r="E303" s="79" t="s">
        <v>1158</v>
      </c>
      <c r="F303" s="79"/>
      <c r="G303" s="79"/>
      <c r="H303" s="79" t="s">
        <v>62</v>
      </c>
      <c r="I303" s="79" t="s">
        <v>1159</v>
      </c>
      <c r="J303" s="79" t="s">
        <v>1160</v>
      </c>
      <c r="K303" s="79"/>
      <c r="L303" s="52" t="str">
        <f>HYPERLINK("https://zibs.nl/wiki/Ademhaling-v3.1(2017NL)#","")</f>
        <v/>
      </c>
      <c r="M303" s="79"/>
      <c r="N303" s="53"/>
      <c r="O303" s="54"/>
    </row>
    <row r="304" spans="1:15" ht="25.5" x14ac:dyDescent="0.25">
      <c r="A304" s="78" t="s">
        <v>1156</v>
      </c>
      <c r="B304" s="61" t="s">
        <v>1157</v>
      </c>
      <c r="C304" s="80" t="s">
        <v>1161</v>
      </c>
      <c r="D304" s="80"/>
      <c r="E304" s="81" t="s">
        <v>1162</v>
      </c>
      <c r="F304" s="81" t="s">
        <v>97</v>
      </c>
      <c r="G304" s="81" t="s">
        <v>69</v>
      </c>
      <c r="H304" s="81" t="s">
        <v>70</v>
      </c>
      <c r="I304" s="81" t="s">
        <v>1163</v>
      </c>
      <c r="J304" s="81" t="s">
        <v>1164</v>
      </c>
      <c r="K304" s="81" t="s">
        <v>1165</v>
      </c>
      <c r="L304" s="52" t="str">
        <f>HYPERLINK("https://zibs.nl/wiki/Ademhaling-v3.1(2017NL)#","")</f>
        <v/>
      </c>
      <c r="M304" s="81"/>
      <c r="N304" s="53"/>
      <c r="O304" s="54"/>
    </row>
    <row r="305" spans="1:15" ht="25.5" x14ac:dyDescent="0.25">
      <c r="A305" s="78" t="s">
        <v>1156</v>
      </c>
      <c r="B305" s="61" t="s">
        <v>1157</v>
      </c>
      <c r="C305" s="80" t="s">
        <v>1166</v>
      </c>
      <c r="D305" s="80"/>
      <c r="E305" s="81" t="s">
        <v>1167</v>
      </c>
      <c r="F305" s="81" t="s">
        <v>88</v>
      </c>
      <c r="G305" s="81" t="s">
        <v>77</v>
      </c>
      <c r="H305" s="81" t="s">
        <v>70</v>
      </c>
      <c r="I305" s="81" t="s">
        <v>1168</v>
      </c>
      <c r="J305" s="81" t="s">
        <v>1169</v>
      </c>
      <c r="K305" s="81"/>
      <c r="L305" s="52" t="str">
        <f>HYPERLINK("https://zibs.nl/wiki/Ademhaling-v3.1(2017NL)#","")</f>
        <v/>
      </c>
      <c r="M305" s="81"/>
      <c r="N305" s="53"/>
      <c r="O305" s="54"/>
    </row>
    <row r="306" spans="1:15" ht="25.5" x14ac:dyDescent="0.25">
      <c r="A306" s="78" t="s">
        <v>1156</v>
      </c>
      <c r="B306" s="61" t="s">
        <v>1157</v>
      </c>
      <c r="C306" s="82" t="s">
        <v>1170</v>
      </c>
      <c r="D306" s="82"/>
      <c r="E306" s="81" t="s">
        <v>1171</v>
      </c>
      <c r="F306" s="81" t="s">
        <v>76</v>
      </c>
      <c r="G306" s="81" t="s">
        <v>69</v>
      </c>
      <c r="H306" s="81" t="s">
        <v>70</v>
      </c>
      <c r="I306" s="81" t="s">
        <v>1172</v>
      </c>
      <c r="J306" s="81" t="s">
        <v>1173</v>
      </c>
      <c r="K306" s="81" t="s">
        <v>1174</v>
      </c>
      <c r="L306" s="52" t="str">
        <f>HYPERLINK("https://zibs.nl/wiki/Ademhaling-v3.1(2017NL)#RitmeCodelijst","RitmeCodelijst")</f>
        <v>RitmeCodelijst</v>
      </c>
      <c r="M306" s="81"/>
      <c r="N306" s="53"/>
      <c r="O306" s="54"/>
    </row>
    <row r="307" spans="1:15" ht="38.25" x14ac:dyDescent="0.25">
      <c r="A307" s="78" t="s">
        <v>1156</v>
      </c>
      <c r="B307" s="61" t="s">
        <v>1157</v>
      </c>
      <c r="C307" s="82" t="s">
        <v>1175</v>
      </c>
      <c r="D307" s="82"/>
      <c r="E307" s="81" t="s">
        <v>1176</v>
      </c>
      <c r="F307" s="81" t="s">
        <v>76</v>
      </c>
      <c r="G307" s="81" t="s">
        <v>69</v>
      </c>
      <c r="H307" s="81" t="s">
        <v>70</v>
      </c>
      <c r="I307" s="81" t="s">
        <v>1177</v>
      </c>
      <c r="J307" s="81" t="s">
        <v>1178</v>
      </c>
      <c r="K307" s="81" t="s">
        <v>1179</v>
      </c>
      <c r="L307" s="52" t="str">
        <f>HYPERLINK("https://zibs.nl/wiki/Ademhaling-v3.1(2017NL)#DiepteCodelijst","DiepteCodelijst")</f>
        <v>DiepteCodelijst</v>
      </c>
      <c r="M307" s="81"/>
      <c r="N307" s="53"/>
      <c r="O307" s="54"/>
    </row>
    <row r="308" spans="1:15" ht="38.25" x14ac:dyDescent="0.25">
      <c r="A308" s="78" t="s">
        <v>1156</v>
      </c>
      <c r="B308" s="61" t="s">
        <v>1157</v>
      </c>
      <c r="C308" s="82" t="s">
        <v>1180</v>
      </c>
      <c r="D308" s="82"/>
      <c r="E308" s="81" t="s">
        <v>1181</v>
      </c>
      <c r="F308" s="81" t="s">
        <v>76</v>
      </c>
      <c r="G308" s="81" t="s">
        <v>69</v>
      </c>
      <c r="H308" s="81" t="s">
        <v>70</v>
      </c>
      <c r="I308" s="81" t="s">
        <v>1182</v>
      </c>
      <c r="J308" s="81" t="s">
        <v>1183</v>
      </c>
      <c r="K308" s="81" t="s">
        <v>1184</v>
      </c>
      <c r="L308" s="52" t="str">
        <f>HYPERLINK("https://zibs.nl/wiki/Ademhaling-v3.1(2017NL)#AfwijkendAdemhalingspatroonCodelijst","AfwijkendAdemhalingspatroonCodelijst")</f>
        <v>AfwijkendAdemhalingspatroonCodelijst</v>
      </c>
      <c r="M308" s="81"/>
      <c r="N308" s="53"/>
      <c r="O308" s="54"/>
    </row>
    <row r="309" spans="1:15" ht="38.25" x14ac:dyDescent="0.25">
      <c r="A309" s="78" t="s">
        <v>1156</v>
      </c>
      <c r="B309" s="61" t="s">
        <v>1157</v>
      </c>
      <c r="C309" s="82" t="s">
        <v>1185</v>
      </c>
      <c r="D309" s="82"/>
      <c r="E309" s="81" t="s">
        <v>1186</v>
      </c>
      <c r="F309" s="81" t="s">
        <v>197</v>
      </c>
      <c r="G309" s="81" t="s">
        <v>69</v>
      </c>
      <c r="H309" s="81" t="s">
        <v>70</v>
      </c>
      <c r="I309" s="81" t="s">
        <v>1187</v>
      </c>
      <c r="J309" s="81" t="s">
        <v>1188</v>
      </c>
      <c r="K309" s="81"/>
      <c r="L309" s="52" t="str">
        <f>HYPERLINK("https://zibs.nl/wiki/Ademhaling-v3.1(2017NL)#","")</f>
        <v/>
      </c>
      <c r="M309" s="81"/>
      <c r="N309" s="53"/>
      <c r="O309" s="54"/>
    </row>
    <row r="310" spans="1:15" ht="25.5" x14ac:dyDescent="0.25">
      <c r="A310" s="78" t="s">
        <v>1156</v>
      </c>
      <c r="B310" s="61" t="s">
        <v>1157</v>
      </c>
      <c r="C310" s="82" t="s">
        <v>66</v>
      </c>
      <c r="D310" s="82"/>
      <c r="E310" s="81" t="s">
        <v>67</v>
      </c>
      <c r="F310" s="81" t="s">
        <v>68</v>
      </c>
      <c r="G310" s="81" t="s">
        <v>69</v>
      </c>
      <c r="H310" s="81" t="s">
        <v>70</v>
      </c>
      <c r="I310" s="81" t="s">
        <v>1189</v>
      </c>
      <c r="J310" s="81" t="s">
        <v>1190</v>
      </c>
      <c r="K310" s="81" t="s">
        <v>73</v>
      </c>
      <c r="L310" s="52" t="str">
        <f>HYPERLINK("https://zibs.nl/wiki/Ademhaling-v3.1(2017NL)#","")</f>
        <v/>
      </c>
      <c r="M310" s="81"/>
      <c r="N310" s="53"/>
      <c r="O310" s="54"/>
    </row>
    <row r="311" spans="1:15" ht="25.5" x14ac:dyDescent="0.25">
      <c r="A311" s="78" t="s">
        <v>1156</v>
      </c>
      <c r="B311" s="61" t="s">
        <v>1157</v>
      </c>
      <c r="C311" s="83" t="s">
        <v>1191</v>
      </c>
      <c r="D311" s="83"/>
      <c r="E311" s="84" t="s">
        <v>1192</v>
      </c>
      <c r="F311" s="84"/>
      <c r="G311" s="84" t="s">
        <v>69</v>
      </c>
      <c r="H311" s="84" t="s">
        <v>83</v>
      </c>
      <c r="I311" s="84" t="s">
        <v>1193</v>
      </c>
      <c r="J311" s="84" t="s">
        <v>1194</v>
      </c>
      <c r="K311" s="84"/>
      <c r="L311" s="52" t="str">
        <f>HYPERLINK("https://zibs.nl/wiki/Ademhaling-v3.1(2017NL)#","")</f>
        <v/>
      </c>
      <c r="M311" s="84"/>
      <c r="N311" s="53"/>
      <c r="O311" s="54"/>
    </row>
    <row r="312" spans="1:15" ht="51" x14ac:dyDescent="0.25">
      <c r="A312" s="78" t="s">
        <v>1156</v>
      </c>
      <c r="B312" s="61" t="s">
        <v>1157</v>
      </c>
      <c r="C312" s="82" t="s">
        <v>1195</v>
      </c>
      <c r="D312" s="82"/>
      <c r="E312" s="81" t="s">
        <v>1196</v>
      </c>
      <c r="F312" s="81" t="s">
        <v>97</v>
      </c>
      <c r="G312" s="81" t="s">
        <v>69</v>
      </c>
      <c r="H312" s="81" t="s">
        <v>70</v>
      </c>
      <c r="I312" s="81" t="s">
        <v>1197</v>
      </c>
      <c r="J312" s="81" t="s">
        <v>1198</v>
      </c>
      <c r="K312" s="81" t="s">
        <v>1199</v>
      </c>
      <c r="L312" s="52" t="str">
        <f>HYPERLINK("https://zibs.nl/wiki/Ademhaling-v3.1(2017NL)#","")</f>
        <v/>
      </c>
      <c r="M312" s="81"/>
      <c r="N312" s="53"/>
      <c r="O312" s="54"/>
    </row>
    <row r="313" spans="1:15" ht="38.25" x14ac:dyDescent="0.25">
      <c r="A313" s="78" t="s">
        <v>1156</v>
      </c>
      <c r="B313" s="61" t="s">
        <v>1157</v>
      </c>
      <c r="C313" s="82" t="s">
        <v>1200</v>
      </c>
      <c r="D313" s="82"/>
      <c r="E313" s="81" t="s">
        <v>1201</v>
      </c>
      <c r="F313" s="81" t="s">
        <v>97</v>
      </c>
      <c r="G313" s="81" t="s">
        <v>69</v>
      </c>
      <c r="H313" s="81" t="s">
        <v>70</v>
      </c>
      <c r="I313" s="81" t="s">
        <v>1202</v>
      </c>
      <c r="J313" s="81" t="s">
        <v>1203</v>
      </c>
      <c r="K313" s="81" t="s">
        <v>1204</v>
      </c>
      <c r="L313" s="52" t="str">
        <f>HYPERLINK("https://zibs.nl/wiki/Ademhaling-v3.1(2017NL)#","")</f>
        <v/>
      </c>
      <c r="M313" s="81"/>
      <c r="N313" s="53"/>
      <c r="O313" s="54"/>
    </row>
    <row r="314" spans="1:15" ht="38.25" x14ac:dyDescent="0.25">
      <c r="A314" s="78" t="s">
        <v>1156</v>
      </c>
      <c r="B314" s="61" t="s">
        <v>1157</v>
      </c>
      <c r="C314" s="82" t="s">
        <v>1205</v>
      </c>
      <c r="D314" s="82"/>
      <c r="E314" s="81" t="s">
        <v>1206</v>
      </c>
      <c r="F314" s="81"/>
      <c r="G314" s="81" t="s">
        <v>69</v>
      </c>
      <c r="H314" s="81" t="s">
        <v>110</v>
      </c>
      <c r="I314" s="81" t="s">
        <v>1207</v>
      </c>
      <c r="J314" s="81" t="s">
        <v>1208</v>
      </c>
      <c r="K314" s="81"/>
      <c r="L314" s="62" t="s">
        <v>488</v>
      </c>
      <c r="M314" s="81"/>
      <c r="N314" s="53"/>
      <c r="O314" s="54"/>
    </row>
    <row r="315" spans="1:15" ht="25.5" x14ac:dyDescent="0.25">
      <c r="A315" s="78" t="s">
        <v>1156</v>
      </c>
      <c r="B315" s="61" t="s">
        <v>1157</v>
      </c>
      <c r="C315" s="82" t="s">
        <v>789</v>
      </c>
      <c r="D315" s="82"/>
      <c r="E315" s="81" t="s">
        <v>790</v>
      </c>
      <c r="F315" s="81" t="s">
        <v>76</v>
      </c>
      <c r="G315" s="81"/>
      <c r="H315" s="81" t="s">
        <v>70</v>
      </c>
      <c r="I315" s="81" t="s">
        <v>791</v>
      </c>
      <c r="J315" s="81" t="s">
        <v>1209</v>
      </c>
      <c r="K315" s="81"/>
      <c r="L315" s="52" t="str">
        <f>HYPERLINK("https://zibs.nl/wiki/Ademhaling-v3.1(2017NL)#ToedieningHulpmiddelCodelijst","ToedieningHulpmiddelCodelijst")</f>
        <v>ToedieningHulpmiddelCodelijst</v>
      </c>
      <c r="M315" s="81"/>
      <c r="N315" s="53"/>
      <c r="O315" s="54"/>
    </row>
    <row r="316" spans="1:15" ht="25.5" x14ac:dyDescent="0.25">
      <c r="A316" s="78" t="s">
        <v>1210</v>
      </c>
      <c r="B316" s="61" t="s">
        <v>1211</v>
      </c>
      <c r="C316" s="78" t="s">
        <v>1210</v>
      </c>
      <c r="D316" s="78"/>
      <c r="E316" s="79" t="s">
        <v>1212</v>
      </c>
      <c r="F316" s="79"/>
      <c r="G316" s="79"/>
      <c r="H316" s="79" t="s">
        <v>62</v>
      </c>
      <c r="I316" s="79" t="s">
        <v>1213</v>
      </c>
      <c r="J316" s="79" t="s">
        <v>1214</v>
      </c>
      <c r="K316" s="79"/>
      <c r="L316" s="52" t="str">
        <f>HYPERLINK("https://zibs.nl/wiki/AlgemeneMeting-v3.0(2017NL)#","")</f>
        <v/>
      </c>
      <c r="M316" s="79"/>
      <c r="N316" s="53"/>
      <c r="O316" s="54"/>
    </row>
    <row r="317" spans="1:15" ht="25.5" x14ac:dyDescent="0.25">
      <c r="A317" s="78" t="s">
        <v>1210</v>
      </c>
      <c r="B317" s="61" t="s">
        <v>1211</v>
      </c>
      <c r="C317" s="85" t="s">
        <v>615</v>
      </c>
      <c r="D317" s="85"/>
      <c r="E317" s="81" t="s">
        <v>1215</v>
      </c>
      <c r="F317" s="81" t="s">
        <v>76</v>
      </c>
      <c r="G317" s="81" t="s">
        <v>69</v>
      </c>
      <c r="H317" s="81" t="s">
        <v>70</v>
      </c>
      <c r="I317" s="81" t="s">
        <v>1216</v>
      </c>
      <c r="J317" s="81" t="s">
        <v>1217</v>
      </c>
      <c r="K317" s="81"/>
      <c r="L317" s="52" t="str">
        <f>HYPERLINK("https://zibs.nl/wiki/AlgemeneMeting-v3.0(2017NL)#OnderzoekCodelijst","OnderzoekCodelijst")</f>
        <v>OnderzoekCodelijst</v>
      </c>
      <c r="M317" s="81"/>
      <c r="N317" s="53"/>
      <c r="O317" s="54"/>
    </row>
    <row r="318" spans="1:15" ht="25.5" x14ac:dyDescent="0.25">
      <c r="A318" s="78" t="s">
        <v>1210</v>
      </c>
      <c r="B318" s="61" t="s">
        <v>1211</v>
      </c>
      <c r="C318" s="85" t="s">
        <v>619</v>
      </c>
      <c r="D318" s="85"/>
      <c r="E318" s="81" t="s">
        <v>620</v>
      </c>
      <c r="F318" s="81" t="s">
        <v>76</v>
      </c>
      <c r="G318" s="81" t="s">
        <v>69</v>
      </c>
      <c r="H318" s="81" t="s">
        <v>70</v>
      </c>
      <c r="I318" s="81" t="s">
        <v>1218</v>
      </c>
      <c r="J318" s="81" t="s">
        <v>1219</v>
      </c>
      <c r="K318" s="81"/>
      <c r="L318" s="52" t="str">
        <f>HYPERLINK("https://zibs.nl/wiki/AlgemeneMeting-v3.0(2017NL)#ResultaatStatusCodelijst","ResultaatStatusCodelijst")</f>
        <v>ResultaatStatusCodelijst</v>
      </c>
      <c r="M318" s="81"/>
      <c r="N318" s="53"/>
      <c r="O318" s="54"/>
    </row>
    <row r="319" spans="1:15" ht="25.5" x14ac:dyDescent="0.25">
      <c r="A319" s="78" t="s">
        <v>1210</v>
      </c>
      <c r="B319" s="61" t="s">
        <v>1211</v>
      </c>
      <c r="C319" s="85" t="s">
        <v>66</v>
      </c>
      <c r="D319" s="85"/>
      <c r="E319" s="81" t="s">
        <v>67</v>
      </c>
      <c r="F319" s="81" t="s">
        <v>68</v>
      </c>
      <c r="G319" s="81" t="s">
        <v>69</v>
      </c>
      <c r="H319" s="81" t="s">
        <v>70</v>
      </c>
      <c r="I319" s="81" t="s">
        <v>1220</v>
      </c>
      <c r="J319" s="81" t="s">
        <v>1221</v>
      </c>
      <c r="K319" s="81" t="s">
        <v>73</v>
      </c>
      <c r="L319" s="52" t="str">
        <f>HYPERLINK("https://zibs.nl/wiki/AlgemeneMeting-v3.0(2017NL)#","")</f>
        <v/>
      </c>
      <c r="M319" s="81"/>
      <c r="N319" s="53"/>
      <c r="O319" s="54"/>
    </row>
    <row r="320" spans="1:15" ht="15" x14ac:dyDescent="0.25">
      <c r="A320" s="78" t="s">
        <v>1210</v>
      </c>
      <c r="B320" s="61" t="s">
        <v>1211</v>
      </c>
      <c r="C320" s="86" t="s">
        <v>1222</v>
      </c>
      <c r="D320" s="86"/>
      <c r="E320" s="84" t="s">
        <v>1223</v>
      </c>
      <c r="F320" s="84"/>
      <c r="G320" s="84" t="s">
        <v>158</v>
      </c>
      <c r="H320" s="84" t="s">
        <v>83</v>
      </c>
      <c r="I320" s="84" t="s">
        <v>1224</v>
      </c>
      <c r="J320" s="84" t="s">
        <v>1225</v>
      </c>
      <c r="K320" s="84"/>
      <c r="L320" s="52" t="str">
        <f>HYPERLINK("https://zibs.nl/wiki/AlgemeneMeting-v3.0(2017NL)#","")</f>
        <v/>
      </c>
      <c r="M320" s="84"/>
      <c r="N320" s="53"/>
      <c r="O320" s="54"/>
    </row>
    <row r="321" spans="1:15" ht="25.5" x14ac:dyDescent="0.25">
      <c r="A321" s="78" t="s">
        <v>1210</v>
      </c>
      <c r="B321" s="61" t="s">
        <v>1211</v>
      </c>
      <c r="C321" s="85" t="s">
        <v>1226</v>
      </c>
      <c r="D321" s="85"/>
      <c r="E321" s="81" t="s">
        <v>1227</v>
      </c>
      <c r="F321" s="81" t="s">
        <v>76</v>
      </c>
      <c r="G321" s="81" t="s">
        <v>77</v>
      </c>
      <c r="H321" s="81" t="s">
        <v>70</v>
      </c>
      <c r="I321" s="81" t="s">
        <v>1228</v>
      </c>
      <c r="J321" s="81" t="s">
        <v>1229</v>
      </c>
      <c r="K321" s="81"/>
      <c r="L321" s="52" t="str">
        <f>HYPERLINK("https://zibs.nl/wiki/AlgemeneMeting-v3.0(2017NL)#MetingNaamCodelijst","MetingNaamCodelijst")</f>
        <v>MetingNaamCodelijst</v>
      </c>
      <c r="M321" s="81"/>
      <c r="N321" s="53"/>
      <c r="O321" s="54"/>
    </row>
    <row r="322" spans="1:15" ht="25.5" x14ac:dyDescent="0.25">
      <c r="A322" s="78" t="s">
        <v>1210</v>
      </c>
      <c r="B322" s="61" t="s">
        <v>1211</v>
      </c>
      <c r="C322" s="85" t="s">
        <v>1230</v>
      </c>
      <c r="D322" s="85"/>
      <c r="E322" s="81" t="s">
        <v>1231</v>
      </c>
      <c r="F322" s="81" t="s">
        <v>585</v>
      </c>
      <c r="G322" s="81" t="s">
        <v>69</v>
      </c>
      <c r="H322" s="81" t="s">
        <v>70</v>
      </c>
      <c r="I322" s="81" t="s">
        <v>1232</v>
      </c>
      <c r="J322" s="81" t="s">
        <v>1233</v>
      </c>
      <c r="K322" s="81"/>
      <c r="L322" s="52" t="str">
        <f>HYPERLINK("https://zibs.nl/wiki/AlgemeneMeting-v3.0(2017NL)#","")</f>
        <v/>
      </c>
      <c r="M322" s="81"/>
      <c r="N322" s="53"/>
      <c r="O322" s="54"/>
    </row>
    <row r="323" spans="1:15" ht="25.5" x14ac:dyDescent="0.25">
      <c r="A323" s="78" t="s">
        <v>1210</v>
      </c>
      <c r="B323" s="61" t="s">
        <v>1211</v>
      </c>
      <c r="C323" s="85" t="s">
        <v>311</v>
      </c>
      <c r="D323" s="85"/>
      <c r="E323" s="81" t="s">
        <v>312</v>
      </c>
      <c r="F323" s="81" t="s">
        <v>76</v>
      </c>
      <c r="G323" s="81" t="s">
        <v>69</v>
      </c>
      <c r="H323" s="81" t="s">
        <v>70</v>
      </c>
      <c r="I323" s="81" t="s">
        <v>1234</v>
      </c>
      <c r="J323" s="81" t="s">
        <v>576</v>
      </c>
      <c r="K323" s="81"/>
      <c r="L323" s="52" t="str">
        <f>HYPERLINK("https://zibs.nl/wiki/AlgemeneMeting-v3.0(2017NL)#MeetmethodeCodelijst","MeetmethodeCodelijst")</f>
        <v>MeetmethodeCodelijst</v>
      </c>
      <c r="M323" s="81"/>
      <c r="N323" s="53"/>
      <c r="O323" s="54"/>
    </row>
    <row r="324" spans="1:15" ht="25.5" x14ac:dyDescent="0.25">
      <c r="A324" s="78" t="s">
        <v>1210</v>
      </c>
      <c r="B324" s="61" t="s">
        <v>1211</v>
      </c>
      <c r="C324" s="85" t="s">
        <v>1235</v>
      </c>
      <c r="D324" s="85"/>
      <c r="E324" s="81" t="s">
        <v>1236</v>
      </c>
      <c r="F324" s="81" t="s">
        <v>88</v>
      </c>
      <c r="G324" s="81" t="s">
        <v>69</v>
      </c>
      <c r="H324" s="81" t="s">
        <v>70</v>
      </c>
      <c r="I324" s="81" t="s">
        <v>1237</v>
      </c>
      <c r="J324" s="81" t="s">
        <v>1238</v>
      </c>
      <c r="K324" s="81"/>
      <c r="L324" s="52" t="str">
        <f>HYPERLINK("https://zibs.nl/wiki/AlgemeneMeting-v3.0(2017NL)#","")</f>
        <v/>
      </c>
      <c r="M324" s="81"/>
      <c r="N324" s="53"/>
      <c r="O324" s="54"/>
    </row>
    <row r="325" spans="1:15" ht="25.5" x14ac:dyDescent="0.25">
      <c r="A325" s="78" t="s">
        <v>1239</v>
      </c>
      <c r="B325" s="61" t="s">
        <v>1240</v>
      </c>
      <c r="C325" s="78" t="s">
        <v>1239</v>
      </c>
      <c r="D325" s="78"/>
      <c r="E325" s="79" t="s">
        <v>1241</v>
      </c>
      <c r="F325" s="79"/>
      <c r="G325" s="79"/>
      <c r="H325" s="79" t="s">
        <v>62</v>
      </c>
      <c r="I325" s="79" t="s">
        <v>1242</v>
      </c>
      <c r="J325" s="79" t="s">
        <v>1243</v>
      </c>
      <c r="K325" s="79"/>
      <c r="L325" s="52" t="str">
        <f t="shared" ref="L325:L331" si="2">HYPERLINK("https://zibs.nl/wiki/ApgarScore-v1.0(2017NL)#","")</f>
        <v/>
      </c>
      <c r="M325" s="79"/>
      <c r="N325" s="53"/>
      <c r="O325" s="54"/>
    </row>
    <row r="326" spans="1:15" ht="25.5" x14ac:dyDescent="0.25">
      <c r="A326" s="78" t="s">
        <v>1239</v>
      </c>
      <c r="B326" s="61" t="s">
        <v>1240</v>
      </c>
      <c r="C326" s="85" t="s">
        <v>1244</v>
      </c>
      <c r="D326" s="85"/>
      <c r="E326" s="81" t="s">
        <v>1245</v>
      </c>
      <c r="F326" s="81" t="s">
        <v>88</v>
      </c>
      <c r="G326" s="81" t="s">
        <v>77</v>
      </c>
      <c r="H326" s="81" t="s">
        <v>70</v>
      </c>
      <c r="I326" s="81" t="s">
        <v>1246</v>
      </c>
      <c r="J326" s="81" t="s">
        <v>1247</v>
      </c>
      <c r="K326" s="81"/>
      <c r="L326" s="52" t="str">
        <f t="shared" si="2"/>
        <v/>
      </c>
      <c r="M326" s="81"/>
      <c r="N326" s="53"/>
      <c r="O326" s="54"/>
    </row>
    <row r="327" spans="1:15" ht="25.5" x14ac:dyDescent="0.25">
      <c r="A327" s="78" t="s">
        <v>1239</v>
      </c>
      <c r="B327" s="61" t="s">
        <v>1240</v>
      </c>
      <c r="C327" s="87" t="s">
        <v>1248</v>
      </c>
      <c r="D327" s="87"/>
      <c r="E327" s="81" t="s">
        <v>1249</v>
      </c>
      <c r="F327" s="81" t="s">
        <v>505</v>
      </c>
      <c r="G327" s="81" t="s">
        <v>77</v>
      </c>
      <c r="H327" s="81" t="s">
        <v>70</v>
      </c>
      <c r="I327" s="81" t="s">
        <v>1250</v>
      </c>
      <c r="J327" s="81" t="s">
        <v>1251</v>
      </c>
      <c r="K327" s="81" t="s">
        <v>1252</v>
      </c>
      <c r="L327" s="52" t="str">
        <f t="shared" si="2"/>
        <v/>
      </c>
      <c r="M327" s="81"/>
      <c r="N327" s="53"/>
      <c r="O327" s="54"/>
    </row>
    <row r="328" spans="1:15" ht="25.5" x14ac:dyDescent="0.25">
      <c r="A328" s="78" t="s">
        <v>1239</v>
      </c>
      <c r="B328" s="61" t="s">
        <v>1240</v>
      </c>
      <c r="C328" s="87" t="s">
        <v>1248</v>
      </c>
      <c r="D328" s="87"/>
      <c r="E328" s="81" t="s">
        <v>1249</v>
      </c>
      <c r="F328" s="81" t="s">
        <v>505</v>
      </c>
      <c r="G328" s="81" t="s">
        <v>77</v>
      </c>
      <c r="H328" s="81" t="s">
        <v>70</v>
      </c>
      <c r="I328" s="81" t="s">
        <v>1250</v>
      </c>
      <c r="J328" s="81" t="s">
        <v>1251</v>
      </c>
      <c r="K328" s="81" t="s">
        <v>1253</v>
      </c>
      <c r="L328" s="52" t="str">
        <f t="shared" si="2"/>
        <v/>
      </c>
      <c r="M328" s="81"/>
      <c r="N328" s="53"/>
      <c r="O328" s="54"/>
    </row>
    <row r="329" spans="1:15" ht="25.5" x14ac:dyDescent="0.25">
      <c r="A329" s="78" t="s">
        <v>1239</v>
      </c>
      <c r="B329" s="61" t="s">
        <v>1240</v>
      </c>
      <c r="C329" s="87" t="s">
        <v>1248</v>
      </c>
      <c r="D329" s="87"/>
      <c r="E329" s="81" t="s">
        <v>1249</v>
      </c>
      <c r="F329" s="81" t="s">
        <v>505</v>
      </c>
      <c r="G329" s="81" t="s">
        <v>77</v>
      </c>
      <c r="H329" s="81" t="s">
        <v>70</v>
      </c>
      <c r="I329" s="81" t="s">
        <v>1250</v>
      </c>
      <c r="J329" s="81" t="s">
        <v>1251</v>
      </c>
      <c r="K329" s="81" t="s">
        <v>1254</v>
      </c>
      <c r="L329" s="52" t="str">
        <f t="shared" si="2"/>
        <v/>
      </c>
      <c r="M329" s="81" t="s">
        <v>1255</v>
      </c>
      <c r="N329" s="53"/>
      <c r="O329" s="54"/>
    </row>
    <row r="330" spans="1:15" ht="38.25" x14ac:dyDescent="0.25">
      <c r="A330" s="78" t="s">
        <v>1239</v>
      </c>
      <c r="B330" s="61" t="s">
        <v>1240</v>
      </c>
      <c r="C330" s="85" t="s">
        <v>1256</v>
      </c>
      <c r="D330" s="85"/>
      <c r="E330" s="81" t="s">
        <v>1257</v>
      </c>
      <c r="F330" s="81" t="s">
        <v>474</v>
      </c>
      <c r="G330" s="81" t="s">
        <v>69</v>
      </c>
      <c r="H330" s="81" t="s">
        <v>70</v>
      </c>
      <c r="I330" s="81" t="s">
        <v>1258</v>
      </c>
      <c r="J330" s="81" t="s">
        <v>1259</v>
      </c>
      <c r="K330" s="81" t="s">
        <v>1260</v>
      </c>
      <c r="L330" s="52" t="str">
        <f t="shared" si="2"/>
        <v/>
      </c>
      <c r="M330" s="81"/>
      <c r="N330" s="53"/>
      <c r="O330" s="54"/>
    </row>
    <row r="331" spans="1:15" ht="25.5" x14ac:dyDescent="0.25">
      <c r="A331" s="78" t="s">
        <v>1239</v>
      </c>
      <c r="B331" s="61" t="s">
        <v>1240</v>
      </c>
      <c r="C331" s="85" t="s">
        <v>1256</v>
      </c>
      <c r="D331" s="85"/>
      <c r="E331" s="81" t="s">
        <v>1257</v>
      </c>
      <c r="F331" s="81" t="s">
        <v>474</v>
      </c>
      <c r="G331" s="81" t="s">
        <v>69</v>
      </c>
      <c r="H331" s="81" t="s">
        <v>70</v>
      </c>
      <c r="I331" s="81" t="s">
        <v>1258</v>
      </c>
      <c r="J331" s="81" t="s">
        <v>1259</v>
      </c>
      <c r="K331" s="81" t="s">
        <v>1261</v>
      </c>
      <c r="L331" s="52" t="str">
        <f t="shared" si="2"/>
        <v/>
      </c>
      <c r="M331" s="81"/>
      <c r="N331" s="53"/>
      <c r="O331" s="54"/>
    </row>
    <row r="332" spans="1:15" ht="25.5" x14ac:dyDescent="0.25">
      <c r="A332" s="78" t="s">
        <v>1239</v>
      </c>
      <c r="B332" s="61" t="s">
        <v>1240</v>
      </c>
      <c r="C332" s="85" t="s">
        <v>1256</v>
      </c>
      <c r="D332" s="85"/>
      <c r="E332" s="81" t="s">
        <v>1257</v>
      </c>
      <c r="F332" s="81" t="s">
        <v>474</v>
      </c>
      <c r="G332" s="81" t="s">
        <v>69</v>
      </c>
      <c r="H332" s="81" t="s">
        <v>70</v>
      </c>
      <c r="I332" s="81" t="s">
        <v>1258</v>
      </c>
      <c r="J332" s="81" t="s">
        <v>1259</v>
      </c>
      <c r="K332" s="81" t="s">
        <v>1262</v>
      </c>
      <c r="L332" s="52" t="str">
        <f>HYPERLINK("https://zibs.nl/wiki/ApgarScore-v1.0(2017NL)#AdemhalingScoreCodelijst","AdemhalingScoreCodelijst")</f>
        <v>AdemhalingScoreCodelijst</v>
      </c>
      <c r="M332" s="81"/>
      <c r="N332" s="53"/>
      <c r="O332" s="54"/>
    </row>
    <row r="333" spans="1:15" ht="25.5" x14ac:dyDescent="0.25">
      <c r="A333" s="78" t="s">
        <v>1239</v>
      </c>
      <c r="B333" s="61" t="s">
        <v>1240</v>
      </c>
      <c r="C333" s="85" t="s">
        <v>1263</v>
      </c>
      <c r="D333" s="85"/>
      <c r="E333" s="81" t="s">
        <v>1264</v>
      </c>
      <c r="F333" s="81" t="s">
        <v>474</v>
      </c>
      <c r="G333" s="81" t="s">
        <v>69</v>
      </c>
      <c r="H333" s="81" t="s">
        <v>70</v>
      </c>
      <c r="I333" s="81" t="s">
        <v>1265</v>
      </c>
      <c r="J333" s="81" t="s">
        <v>1266</v>
      </c>
      <c r="K333" s="81" t="s">
        <v>1267</v>
      </c>
      <c r="L333" s="52" t="str">
        <f>HYPERLINK("https://zibs.nl/wiki/ApgarScore-v1.0(2017NL)#","")</f>
        <v/>
      </c>
      <c r="M333" s="81"/>
      <c r="N333" s="53"/>
      <c r="O333" s="54"/>
    </row>
    <row r="334" spans="1:15" ht="25.5" x14ac:dyDescent="0.25">
      <c r="A334" s="78" t="s">
        <v>1239</v>
      </c>
      <c r="B334" s="61" t="s">
        <v>1240</v>
      </c>
      <c r="C334" s="85" t="s">
        <v>1263</v>
      </c>
      <c r="D334" s="85"/>
      <c r="E334" s="81" t="s">
        <v>1264</v>
      </c>
      <c r="F334" s="81" t="s">
        <v>474</v>
      </c>
      <c r="G334" s="81" t="s">
        <v>69</v>
      </c>
      <c r="H334" s="81" t="s">
        <v>70</v>
      </c>
      <c r="I334" s="81" t="s">
        <v>1265</v>
      </c>
      <c r="J334" s="81" t="s">
        <v>1266</v>
      </c>
      <c r="K334" s="81" t="s">
        <v>1268</v>
      </c>
      <c r="L334" s="52" t="str">
        <f>HYPERLINK("https://zibs.nl/wiki/ApgarScore-v1.0(2017NL)#","")</f>
        <v/>
      </c>
      <c r="M334" s="81"/>
      <c r="N334" s="53"/>
      <c r="O334" s="54"/>
    </row>
    <row r="335" spans="1:15" ht="25.5" x14ac:dyDescent="0.25">
      <c r="A335" s="78" t="s">
        <v>1239</v>
      </c>
      <c r="B335" s="61" t="s">
        <v>1240</v>
      </c>
      <c r="C335" s="85" t="s">
        <v>1263</v>
      </c>
      <c r="D335" s="85"/>
      <c r="E335" s="81" t="s">
        <v>1264</v>
      </c>
      <c r="F335" s="81" t="s">
        <v>474</v>
      </c>
      <c r="G335" s="81" t="s">
        <v>69</v>
      </c>
      <c r="H335" s="81" t="s">
        <v>70</v>
      </c>
      <c r="I335" s="81" t="s">
        <v>1265</v>
      </c>
      <c r="J335" s="81" t="s">
        <v>1266</v>
      </c>
      <c r="K335" s="81" t="s">
        <v>1269</v>
      </c>
      <c r="L335" s="52" t="str">
        <f>HYPERLINK("https://zibs.nl/wiki/ApgarScore-v1.0(2017NL)#HuidskleurScoreCodelijst","HuidskleurScoreCodelijst")</f>
        <v>HuidskleurScoreCodelijst</v>
      </c>
      <c r="M335" s="81"/>
      <c r="N335" s="53"/>
      <c r="O335" s="54"/>
    </row>
    <row r="336" spans="1:15" ht="25.5" x14ac:dyDescent="0.25">
      <c r="A336" s="78" t="s">
        <v>1239</v>
      </c>
      <c r="B336" s="61" t="s">
        <v>1240</v>
      </c>
      <c r="C336" s="85" t="s">
        <v>1270</v>
      </c>
      <c r="D336" s="85"/>
      <c r="E336" s="81" t="s">
        <v>1271</v>
      </c>
      <c r="F336" s="81" t="s">
        <v>474</v>
      </c>
      <c r="G336" s="81" t="s">
        <v>69</v>
      </c>
      <c r="H336" s="81" t="s">
        <v>70</v>
      </c>
      <c r="I336" s="81" t="s">
        <v>1272</v>
      </c>
      <c r="J336" s="81" t="s">
        <v>1273</v>
      </c>
      <c r="K336" s="81" t="s">
        <v>1274</v>
      </c>
      <c r="L336" s="52" t="str">
        <f>HYPERLINK("https://zibs.nl/wiki/ApgarScore-v1.0(2017NL)#","")</f>
        <v/>
      </c>
      <c r="M336" s="81"/>
      <c r="N336" s="53"/>
      <c r="O336" s="54"/>
    </row>
    <row r="337" spans="1:15" ht="25.5" x14ac:dyDescent="0.25">
      <c r="A337" s="78" t="s">
        <v>1239</v>
      </c>
      <c r="B337" s="61" t="s">
        <v>1240</v>
      </c>
      <c r="C337" s="85" t="s">
        <v>1270</v>
      </c>
      <c r="D337" s="85"/>
      <c r="E337" s="81" t="s">
        <v>1271</v>
      </c>
      <c r="F337" s="81" t="s">
        <v>474</v>
      </c>
      <c r="G337" s="81" t="s">
        <v>69</v>
      </c>
      <c r="H337" s="81" t="s">
        <v>70</v>
      </c>
      <c r="I337" s="81" t="s">
        <v>1272</v>
      </c>
      <c r="J337" s="81" t="s">
        <v>1273</v>
      </c>
      <c r="K337" s="81" t="s">
        <v>1275</v>
      </c>
      <c r="L337" s="52" t="str">
        <f>HYPERLINK("https://zibs.nl/wiki/ApgarScore-v1.0(2017NL)#","")</f>
        <v/>
      </c>
      <c r="M337" s="81"/>
      <c r="N337" s="53"/>
      <c r="O337" s="54"/>
    </row>
    <row r="338" spans="1:15" ht="25.5" x14ac:dyDescent="0.25">
      <c r="A338" s="78" t="s">
        <v>1239</v>
      </c>
      <c r="B338" s="61" t="s">
        <v>1240</v>
      </c>
      <c r="C338" s="85" t="s">
        <v>1270</v>
      </c>
      <c r="D338" s="85"/>
      <c r="E338" s="81" t="s">
        <v>1271</v>
      </c>
      <c r="F338" s="81" t="s">
        <v>474</v>
      </c>
      <c r="G338" s="81" t="s">
        <v>69</v>
      </c>
      <c r="H338" s="81" t="s">
        <v>70</v>
      </c>
      <c r="I338" s="81" t="s">
        <v>1272</v>
      </c>
      <c r="J338" s="81" t="s">
        <v>1273</v>
      </c>
      <c r="K338" s="81" t="s">
        <v>1276</v>
      </c>
      <c r="L338" s="52" t="str">
        <f>HYPERLINK("https://zibs.nl/wiki/ApgarScore-v1.0(2017NL)#HartslagScoreCodelijst","HartslagScoreCodelijst")</f>
        <v>HartslagScoreCodelijst</v>
      </c>
      <c r="M338" s="81"/>
      <c r="N338" s="53"/>
      <c r="O338" s="54"/>
    </row>
    <row r="339" spans="1:15" ht="38.25" x14ac:dyDescent="0.25">
      <c r="A339" s="78" t="s">
        <v>1239</v>
      </c>
      <c r="B339" s="61" t="s">
        <v>1240</v>
      </c>
      <c r="C339" s="85" t="s">
        <v>1277</v>
      </c>
      <c r="D339" s="85"/>
      <c r="E339" s="81" t="s">
        <v>1278</v>
      </c>
      <c r="F339" s="81" t="s">
        <v>474</v>
      </c>
      <c r="G339" s="81" t="s">
        <v>69</v>
      </c>
      <c r="H339" s="81" t="s">
        <v>70</v>
      </c>
      <c r="I339" s="81" t="s">
        <v>1279</v>
      </c>
      <c r="J339" s="81" t="s">
        <v>1280</v>
      </c>
      <c r="K339" s="81" t="s">
        <v>1281</v>
      </c>
      <c r="L339" s="52" t="str">
        <f>HYPERLINK("https://zibs.nl/wiki/ApgarScore-v1.0(2017NL)#","")</f>
        <v/>
      </c>
      <c r="M339" s="81"/>
      <c r="N339" s="53"/>
      <c r="O339" s="54"/>
    </row>
    <row r="340" spans="1:15" ht="25.5" x14ac:dyDescent="0.25">
      <c r="A340" s="78" t="s">
        <v>1239</v>
      </c>
      <c r="B340" s="61" t="s">
        <v>1240</v>
      </c>
      <c r="C340" s="85" t="s">
        <v>1277</v>
      </c>
      <c r="D340" s="85"/>
      <c r="E340" s="81" t="s">
        <v>1278</v>
      </c>
      <c r="F340" s="81" t="s">
        <v>474</v>
      </c>
      <c r="G340" s="81" t="s">
        <v>69</v>
      </c>
      <c r="H340" s="81" t="s">
        <v>70</v>
      </c>
      <c r="I340" s="81" t="s">
        <v>1279</v>
      </c>
      <c r="J340" s="81" t="s">
        <v>1280</v>
      </c>
      <c r="K340" s="81" t="s">
        <v>1282</v>
      </c>
      <c r="L340" s="52" t="str">
        <f>HYPERLINK("https://zibs.nl/wiki/ApgarScore-v1.0(2017NL)#","")</f>
        <v/>
      </c>
      <c r="M340" s="81"/>
      <c r="N340" s="53"/>
      <c r="O340" s="54"/>
    </row>
    <row r="341" spans="1:15" ht="25.5" x14ac:dyDescent="0.25">
      <c r="A341" s="78" t="s">
        <v>1239</v>
      </c>
      <c r="B341" s="61" t="s">
        <v>1240</v>
      </c>
      <c r="C341" s="85" t="s">
        <v>1277</v>
      </c>
      <c r="D341" s="85"/>
      <c r="E341" s="81" t="s">
        <v>1278</v>
      </c>
      <c r="F341" s="81" t="s">
        <v>474</v>
      </c>
      <c r="G341" s="81" t="s">
        <v>69</v>
      </c>
      <c r="H341" s="81" t="s">
        <v>70</v>
      </c>
      <c r="I341" s="81" t="s">
        <v>1279</v>
      </c>
      <c r="J341" s="81" t="s">
        <v>1280</v>
      </c>
      <c r="K341" s="81" t="s">
        <v>1283</v>
      </c>
      <c r="L341" s="52" t="str">
        <f>HYPERLINK("https://zibs.nl/wiki/ApgarScore-v1.0(2017NL)#ReflexenScoreCodelijst","ReflexenScoreCodelijst")</f>
        <v>ReflexenScoreCodelijst</v>
      </c>
      <c r="M341" s="81"/>
      <c r="N341" s="53"/>
      <c r="O341" s="54"/>
    </row>
    <row r="342" spans="1:15" ht="38.25" x14ac:dyDescent="0.25">
      <c r="A342" s="78" t="s">
        <v>1239</v>
      </c>
      <c r="B342" s="61" t="s">
        <v>1240</v>
      </c>
      <c r="C342" s="85" t="s">
        <v>1284</v>
      </c>
      <c r="D342" s="85"/>
      <c r="E342" s="81" t="s">
        <v>1285</v>
      </c>
      <c r="F342" s="81" t="s">
        <v>474</v>
      </c>
      <c r="G342" s="81" t="s">
        <v>69</v>
      </c>
      <c r="H342" s="81" t="s">
        <v>70</v>
      </c>
      <c r="I342" s="81" t="s">
        <v>1286</v>
      </c>
      <c r="J342" s="81" t="s">
        <v>1287</v>
      </c>
      <c r="K342" s="81" t="s">
        <v>1288</v>
      </c>
      <c r="L342" s="52" t="str">
        <f>HYPERLINK("https://zibs.nl/wiki/ApgarScore-v1.0(2017NL)#","")</f>
        <v/>
      </c>
      <c r="M342" s="81"/>
      <c r="N342" s="53"/>
      <c r="O342" s="54"/>
    </row>
    <row r="343" spans="1:15" ht="25.5" x14ac:dyDescent="0.25">
      <c r="A343" s="78" t="s">
        <v>1239</v>
      </c>
      <c r="B343" s="61" t="s">
        <v>1240</v>
      </c>
      <c r="C343" s="85" t="s">
        <v>1284</v>
      </c>
      <c r="D343" s="85"/>
      <c r="E343" s="81" t="s">
        <v>1285</v>
      </c>
      <c r="F343" s="81" t="s">
        <v>474</v>
      </c>
      <c r="G343" s="81" t="s">
        <v>69</v>
      </c>
      <c r="H343" s="81" t="s">
        <v>70</v>
      </c>
      <c r="I343" s="81" t="s">
        <v>1286</v>
      </c>
      <c r="J343" s="81" t="s">
        <v>1287</v>
      </c>
      <c r="K343" s="81" t="s">
        <v>1289</v>
      </c>
      <c r="L343" s="52" t="str">
        <f>HYPERLINK("https://zibs.nl/wiki/ApgarScore-v1.0(2017NL)#","")</f>
        <v/>
      </c>
      <c r="M343" s="81"/>
      <c r="N343" s="53"/>
      <c r="O343" s="54"/>
    </row>
    <row r="344" spans="1:15" ht="25.5" x14ac:dyDescent="0.25">
      <c r="A344" s="78" t="s">
        <v>1239</v>
      </c>
      <c r="B344" s="61" t="s">
        <v>1240</v>
      </c>
      <c r="C344" s="85" t="s">
        <v>1284</v>
      </c>
      <c r="D344" s="85"/>
      <c r="E344" s="81" t="s">
        <v>1285</v>
      </c>
      <c r="F344" s="81" t="s">
        <v>474</v>
      </c>
      <c r="G344" s="81" t="s">
        <v>69</v>
      </c>
      <c r="H344" s="81" t="s">
        <v>70</v>
      </c>
      <c r="I344" s="81" t="s">
        <v>1286</v>
      </c>
      <c r="J344" s="81" t="s">
        <v>1287</v>
      </c>
      <c r="K344" s="81" t="s">
        <v>1290</v>
      </c>
      <c r="L344" s="52" t="str">
        <f>HYPERLINK("https://zibs.nl/wiki/ApgarScore-v1.0(2017NL)#SpierspanningScoreCodelijst","SpierspanningScoreCodelijst")</f>
        <v>SpierspanningScoreCodelijst</v>
      </c>
      <c r="M344" s="81"/>
      <c r="N344" s="53"/>
      <c r="O344" s="54"/>
    </row>
    <row r="345" spans="1:15" ht="25.5" x14ac:dyDescent="0.25">
      <c r="A345" s="78" t="s">
        <v>1239</v>
      </c>
      <c r="B345" s="61" t="s">
        <v>1240</v>
      </c>
      <c r="C345" s="85" t="s">
        <v>66</v>
      </c>
      <c r="D345" s="85"/>
      <c r="E345" s="81" t="s">
        <v>67</v>
      </c>
      <c r="F345" s="81" t="s">
        <v>68</v>
      </c>
      <c r="G345" s="81" t="s">
        <v>69</v>
      </c>
      <c r="H345" s="81" t="s">
        <v>70</v>
      </c>
      <c r="I345" s="81" t="s">
        <v>1291</v>
      </c>
      <c r="J345" s="81" t="s">
        <v>1292</v>
      </c>
      <c r="K345" s="81" t="s">
        <v>73</v>
      </c>
      <c r="L345" s="52" t="str">
        <f>HYPERLINK("https://zibs.nl/wiki/ApgarScore-v1.0(2017NL)#","")</f>
        <v/>
      </c>
      <c r="M345" s="81"/>
      <c r="N345" s="53"/>
      <c r="O345" s="54"/>
    </row>
    <row r="346" spans="1:15" ht="38.25" x14ac:dyDescent="0.25">
      <c r="A346" s="78" t="s">
        <v>1293</v>
      </c>
      <c r="B346" s="61" t="s">
        <v>1294</v>
      </c>
      <c r="C346" s="78" t="s">
        <v>1293</v>
      </c>
      <c r="D346" s="78"/>
      <c r="E346" s="79" t="s">
        <v>1295</v>
      </c>
      <c r="F346" s="79"/>
      <c r="G346" s="79"/>
      <c r="H346" s="79" t="s">
        <v>62</v>
      </c>
      <c r="I346" s="79" t="s">
        <v>1296</v>
      </c>
      <c r="J346" s="79" t="s">
        <v>1297</v>
      </c>
      <c r="K346" s="79" t="s">
        <v>1298</v>
      </c>
      <c r="L346" s="52" t="str">
        <f>HYPERLINK("https://zibs.nl/wiki/BarthelIndex-v3.1(2017NL)#","")</f>
        <v/>
      </c>
      <c r="M346" s="79"/>
      <c r="N346" s="53"/>
      <c r="O346" s="54"/>
    </row>
    <row r="347" spans="1:15" ht="89.25" x14ac:dyDescent="0.25">
      <c r="A347" s="78" t="s">
        <v>1293</v>
      </c>
      <c r="B347" s="61" t="s">
        <v>1294</v>
      </c>
      <c r="C347" s="85" t="s">
        <v>1299</v>
      </c>
      <c r="D347" s="85"/>
      <c r="E347" s="81" t="s">
        <v>1300</v>
      </c>
      <c r="F347" s="81" t="s">
        <v>474</v>
      </c>
      <c r="G347" s="81" t="s">
        <v>77</v>
      </c>
      <c r="H347" s="81" t="s">
        <v>70</v>
      </c>
      <c r="I347" s="81" t="s">
        <v>1301</v>
      </c>
      <c r="J347" s="81" t="s">
        <v>1302</v>
      </c>
      <c r="K347" s="81"/>
      <c r="L347" s="52" t="str">
        <f>HYPERLINK("https://zibs.nl/wiki/BarthelIndex-v3.1(2017NL)#DarmCodelijst","DarmCodelijst")</f>
        <v>DarmCodelijst</v>
      </c>
      <c r="M347" s="81"/>
      <c r="N347" s="53"/>
      <c r="O347" s="54"/>
    </row>
    <row r="348" spans="1:15" ht="89.25" x14ac:dyDescent="0.25">
      <c r="A348" s="78" t="s">
        <v>1293</v>
      </c>
      <c r="B348" s="61" t="s">
        <v>1294</v>
      </c>
      <c r="C348" s="85" t="s">
        <v>1303</v>
      </c>
      <c r="D348" s="85"/>
      <c r="E348" s="81" t="s">
        <v>1304</v>
      </c>
      <c r="F348" s="81" t="s">
        <v>474</v>
      </c>
      <c r="G348" s="81" t="s">
        <v>77</v>
      </c>
      <c r="H348" s="81" t="s">
        <v>70</v>
      </c>
      <c r="I348" s="81" t="s">
        <v>1305</v>
      </c>
      <c r="J348" s="81" t="s">
        <v>1306</v>
      </c>
      <c r="K348" s="81"/>
      <c r="L348" s="52" t="str">
        <f>HYPERLINK("https://zibs.nl/wiki/BarthelIndex-v3.1(2017NL)#BlaasCodelijst","BlaasCodelijst")</f>
        <v>BlaasCodelijst</v>
      </c>
      <c r="M348" s="81"/>
      <c r="N348" s="53"/>
      <c r="O348" s="54"/>
    </row>
    <row r="349" spans="1:15" ht="89.25" x14ac:dyDescent="0.25">
      <c r="A349" s="78" t="s">
        <v>1293</v>
      </c>
      <c r="B349" s="61" t="s">
        <v>1294</v>
      </c>
      <c r="C349" s="85" t="s">
        <v>1307</v>
      </c>
      <c r="D349" s="85"/>
      <c r="E349" s="81" t="s">
        <v>1308</v>
      </c>
      <c r="F349" s="81" t="s">
        <v>474</v>
      </c>
      <c r="G349" s="81" t="s">
        <v>77</v>
      </c>
      <c r="H349" s="81" t="s">
        <v>70</v>
      </c>
      <c r="I349" s="81" t="s">
        <v>1309</v>
      </c>
      <c r="J349" s="81" t="s">
        <v>1310</v>
      </c>
      <c r="K349" s="81"/>
      <c r="L349" s="52" t="str">
        <f>HYPERLINK("https://zibs.nl/wiki/BarthelIndex-v3.1(2017NL)#UiterlijkeVerzorgingCodelijst","UiterlijkeVerzorgingCodelijst")</f>
        <v>UiterlijkeVerzorgingCodelijst</v>
      </c>
      <c r="M349" s="81"/>
      <c r="N349" s="53"/>
      <c r="O349" s="54"/>
    </row>
    <row r="350" spans="1:15" ht="89.25" x14ac:dyDescent="0.25">
      <c r="A350" s="78" t="s">
        <v>1293</v>
      </c>
      <c r="B350" s="61" t="s">
        <v>1294</v>
      </c>
      <c r="C350" s="85" t="s">
        <v>1311</v>
      </c>
      <c r="D350" s="85"/>
      <c r="E350" s="81" t="s">
        <v>1312</v>
      </c>
      <c r="F350" s="81" t="s">
        <v>474</v>
      </c>
      <c r="G350" s="81" t="s">
        <v>77</v>
      </c>
      <c r="H350" s="81" t="s">
        <v>70</v>
      </c>
      <c r="I350" s="81" t="s">
        <v>1313</v>
      </c>
      <c r="J350" s="81" t="s">
        <v>1314</v>
      </c>
      <c r="K350" s="81"/>
      <c r="L350" s="52" t="str">
        <f>HYPERLINK("https://zibs.nl/wiki/BarthelIndex-v3.1(2017NL)#ToiletgebruikCodelijst","ToiletgebruikCodelijst")</f>
        <v>ToiletgebruikCodelijst</v>
      </c>
      <c r="M350" s="81"/>
      <c r="N350" s="53"/>
      <c r="O350" s="54"/>
    </row>
    <row r="351" spans="1:15" ht="89.25" x14ac:dyDescent="0.25">
      <c r="A351" s="78" t="s">
        <v>1293</v>
      </c>
      <c r="B351" s="61" t="s">
        <v>1294</v>
      </c>
      <c r="C351" s="87"/>
      <c r="D351" s="87"/>
      <c r="E351" s="81" t="s">
        <v>1315</v>
      </c>
      <c r="F351" s="81" t="s">
        <v>474</v>
      </c>
      <c r="G351" s="81" t="s">
        <v>77</v>
      </c>
      <c r="H351" s="81" t="s">
        <v>70</v>
      </c>
      <c r="I351" s="81" t="s">
        <v>1316</v>
      </c>
      <c r="J351" s="81" t="s">
        <v>1317</v>
      </c>
      <c r="K351" s="81"/>
      <c r="L351" s="52" t="str">
        <f>HYPERLINK("https://zibs.nl/wiki/BarthelIndex-v3.1(2017NL)#EtenCodelijst","EtenCodelijst")</f>
        <v>EtenCodelijst</v>
      </c>
      <c r="M351" s="81"/>
      <c r="N351" s="53"/>
      <c r="O351" s="54"/>
    </row>
    <row r="352" spans="1:15" ht="102" x14ac:dyDescent="0.25">
      <c r="A352" s="78" t="s">
        <v>1293</v>
      </c>
      <c r="B352" s="61" t="s">
        <v>1294</v>
      </c>
      <c r="C352" s="87"/>
      <c r="D352" s="87"/>
      <c r="E352" s="81" t="s">
        <v>1318</v>
      </c>
      <c r="F352" s="81" t="s">
        <v>474</v>
      </c>
      <c r="G352" s="81" t="s">
        <v>77</v>
      </c>
      <c r="H352" s="81" t="s">
        <v>70</v>
      </c>
      <c r="I352" s="81" t="s">
        <v>1319</v>
      </c>
      <c r="J352" s="81" t="s">
        <v>1320</v>
      </c>
      <c r="K352" s="81"/>
      <c r="L352" s="52" t="str">
        <f>HYPERLINK("https://zibs.nl/wiki/BarthelIndex-v3.1(2017NL)#TransfersCodelijst","TransfersCodelijst")</f>
        <v>TransfersCodelijst</v>
      </c>
      <c r="M352" s="81"/>
      <c r="N352" s="53"/>
      <c r="O352" s="54"/>
    </row>
    <row r="353" spans="1:15" ht="89.25" x14ac:dyDescent="0.25">
      <c r="A353" s="78" t="s">
        <v>1293</v>
      </c>
      <c r="B353" s="61" t="s">
        <v>1294</v>
      </c>
      <c r="C353" s="87"/>
      <c r="D353" s="87"/>
      <c r="E353" s="81" t="s">
        <v>1321</v>
      </c>
      <c r="F353" s="81" t="s">
        <v>474</v>
      </c>
      <c r="G353" s="81" t="s">
        <v>77</v>
      </c>
      <c r="H353" s="81" t="s">
        <v>70</v>
      </c>
      <c r="I353" s="81" t="s">
        <v>1322</v>
      </c>
      <c r="J353" s="81" t="s">
        <v>1323</v>
      </c>
      <c r="K353" s="81"/>
      <c r="L353" s="52" t="str">
        <f>HYPERLINK("https://zibs.nl/wiki/BarthelIndex-v3.1(2017NL)#MobiliteitCodelijst","MobiliteitCodelijst")</f>
        <v>MobiliteitCodelijst</v>
      </c>
      <c r="M353" s="81"/>
      <c r="N353" s="53"/>
      <c r="O353" s="54"/>
    </row>
    <row r="354" spans="1:15" ht="76.5" x14ac:dyDescent="0.25">
      <c r="A354" s="78" t="s">
        <v>1293</v>
      </c>
      <c r="B354" s="61" t="s">
        <v>1294</v>
      </c>
      <c r="C354" s="87"/>
      <c r="D354" s="87"/>
      <c r="E354" s="81" t="s">
        <v>1324</v>
      </c>
      <c r="F354" s="81" t="s">
        <v>474</v>
      </c>
      <c r="G354" s="81" t="s">
        <v>77</v>
      </c>
      <c r="H354" s="81" t="s">
        <v>70</v>
      </c>
      <c r="I354" s="81" t="s">
        <v>1325</v>
      </c>
      <c r="J354" s="81" t="s">
        <v>1326</v>
      </c>
      <c r="K354" s="81"/>
      <c r="L354" s="52" t="str">
        <f>HYPERLINK("https://zibs.nl/wiki/BarthelIndex-v3.1(2017NL)#AanUitkledenCodelijst","AanUitkledenCodelijst")</f>
        <v>AanUitkledenCodelijst</v>
      </c>
      <c r="M354" s="81"/>
      <c r="N354" s="53"/>
      <c r="O354" s="54"/>
    </row>
    <row r="355" spans="1:15" ht="63.75" x14ac:dyDescent="0.25">
      <c r="A355" s="78" t="s">
        <v>1293</v>
      </c>
      <c r="B355" s="61" t="s">
        <v>1294</v>
      </c>
      <c r="C355" s="85" t="s">
        <v>1327</v>
      </c>
      <c r="D355" s="85"/>
      <c r="E355" s="81" t="s">
        <v>1328</v>
      </c>
      <c r="F355" s="81" t="s">
        <v>474</v>
      </c>
      <c r="G355" s="81" t="s">
        <v>77</v>
      </c>
      <c r="H355" s="81" t="s">
        <v>70</v>
      </c>
      <c r="I355" s="81" t="s">
        <v>1329</v>
      </c>
      <c r="J355" s="81" t="s">
        <v>1330</v>
      </c>
      <c r="K355" s="81"/>
      <c r="L355" s="52" t="str">
        <f>HYPERLINK("https://zibs.nl/wiki/BarthelIndex-v3.1(2017NL)#TrappenLopenCodelijst","TrappenLopenCodelijst")</f>
        <v>TrappenLopenCodelijst</v>
      </c>
      <c r="M355" s="81"/>
      <c r="N355" s="53"/>
      <c r="O355" s="54"/>
    </row>
    <row r="356" spans="1:15" ht="63.75" x14ac:dyDescent="0.25">
      <c r="A356" s="78" t="s">
        <v>1293</v>
      </c>
      <c r="B356" s="61" t="s">
        <v>1294</v>
      </c>
      <c r="C356" s="85" t="s">
        <v>1331</v>
      </c>
      <c r="D356" s="85"/>
      <c r="E356" s="81" t="s">
        <v>1332</v>
      </c>
      <c r="F356" s="81" t="s">
        <v>474</v>
      </c>
      <c r="G356" s="81" t="s">
        <v>77</v>
      </c>
      <c r="H356" s="81" t="s">
        <v>70</v>
      </c>
      <c r="I356" s="81" t="s">
        <v>1333</v>
      </c>
      <c r="J356" s="81" t="s">
        <v>1334</v>
      </c>
      <c r="K356" s="81"/>
      <c r="L356" s="52" t="str">
        <f>HYPERLINK("https://zibs.nl/wiki/BarthelIndex-v3.1(2017NL)#BadenDouchenCodelijst","BadenDouchenCodelijst")</f>
        <v>BadenDouchenCodelijst</v>
      </c>
      <c r="M356" s="81"/>
      <c r="N356" s="53"/>
      <c r="O356" s="54"/>
    </row>
    <row r="357" spans="1:15" ht="38.25" x14ac:dyDescent="0.25">
      <c r="A357" s="78" t="s">
        <v>1293</v>
      </c>
      <c r="B357" s="61" t="s">
        <v>1294</v>
      </c>
      <c r="C357" s="85" t="s">
        <v>1335</v>
      </c>
      <c r="D357" s="85"/>
      <c r="E357" s="81" t="s">
        <v>1336</v>
      </c>
      <c r="F357" s="81" t="s">
        <v>505</v>
      </c>
      <c r="G357" s="81" t="s">
        <v>77</v>
      </c>
      <c r="H357" s="81" t="s">
        <v>341</v>
      </c>
      <c r="I357" s="81" t="s">
        <v>1337</v>
      </c>
      <c r="J357" s="81" t="s">
        <v>1338</v>
      </c>
      <c r="K357" s="81"/>
      <c r="L357" s="52" t="str">
        <f>HYPERLINK("https://zibs.nl/wiki/BarthelIndex-v3.1(2017NL)#","")</f>
        <v/>
      </c>
      <c r="M357" s="81" t="s">
        <v>1339</v>
      </c>
      <c r="N357" s="53"/>
      <c r="O357" s="54"/>
    </row>
    <row r="358" spans="1:15" ht="15" x14ac:dyDescent="0.25">
      <c r="A358" s="78" t="s">
        <v>1340</v>
      </c>
      <c r="B358" s="61" t="s">
        <v>1341</v>
      </c>
      <c r="C358" s="78" t="s">
        <v>1340</v>
      </c>
      <c r="D358" s="78"/>
      <c r="E358" s="79" t="s">
        <v>1342</v>
      </c>
      <c r="F358" s="79"/>
      <c r="G358" s="79"/>
      <c r="H358" s="79" t="s">
        <v>62</v>
      </c>
      <c r="I358" s="79" t="s">
        <v>1343</v>
      </c>
      <c r="J358" s="79" t="s">
        <v>1344</v>
      </c>
      <c r="K358" s="79"/>
      <c r="L358" s="52" t="str">
        <f>HYPERLINK("https://zibs.nl/wiki/Behandeldoel-v3.1(2017NL)#","")</f>
        <v/>
      </c>
      <c r="M358" s="79"/>
      <c r="N358" s="53"/>
      <c r="O358" s="54"/>
    </row>
    <row r="359" spans="1:15" ht="63.75" x14ac:dyDescent="0.25">
      <c r="A359" s="78" t="s">
        <v>1340</v>
      </c>
      <c r="B359" s="61" t="s">
        <v>1341</v>
      </c>
      <c r="C359" s="85" t="s">
        <v>1345</v>
      </c>
      <c r="D359" s="85"/>
      <c r="E359" s="81" t="s">
        <v>1346</v>
      </c>
      <c r="F359" s="81" t="s">
        <v>68</v>
      </c>
      <c r="G359" s="81" t="s">
        <v>109</v>
      </c>
      <c r="H359" s="81" t="s">
        <v>70</v>
      </c>
      <c r="I359" s="81" t="s">
        <v>1347</v>
      </c>
      <c r="J359" s="81" t="s">
        <v>1348</v>
      </c>
      <c r="K359" s="81" t="s">
        <v>1349</v>
      </c>
      <c r="L359" s="52" t="str">
        <f>HYPERLINK("https://zibs.nl/wiki/Behandeldoel-v3.1(2017NL)#","")</f>
        <v/>
      </c>
      <c r="M359" s="81"/>
      <c r="N359" s="53"/>
      <c r="O359" s="54"/>
    </row>
    <row r="360" spans="1:15" ht="38.25" x14ac:dyDescent="0.25">
      <c r="A360" s="78" t="s">
        <v>1340</v>
      </c>
      <c r="B360" s="61" t="s">
        <v>1341</v>
      </c>
      <c r="C360" s="85" t="s">
        <v>1350</v>
      </c>
      <c r="D360" s="85"/>
      <c r="E360" s="81" t="s">
        <v>1351</v>
      </c>
      <c r="F360" s="81"/>
      <c r="G360" s="81" t="s">
        <v>109</v>
      </c>
      <c r="H360" s="81" t="s">
        <v>110</v>
      </c>
      <c r="I360" s="81" t="s">
        <v>1352</v>
      </c>
      <c r="J360" s="81" t="s">
        <v>1353</v>
      </c>
      <c r="K360" s="81"/>
      <c r="L360" s="62" t="s">
        <v>1354</v>
      </c>
      <c r="M360" s="81"/>
      <c r="N360" s="53"/>
      <c r="O360" s="54"/>
    </row>
    <row r="361" spans="1:15" ht="51" x14ac:dyDescent="0.25">
      <c r="A361" s="78" t="s">
        <v>1340</v>
      </c>
      <c r="B361" s="61" t="s">
        <v>1341</v>
      </c>
      <c r="C361" s="85" t="s">
        <v>1355</v>
      </c>
      <c r="D361" s="85"/>
      <c r="E361" s="81" t="s">
        <v>1356</v>
      </c>
      <c r="F361" s="81"/>
      <c r="G361" s="81" t="s">
        <v>109</v>
      </c>
      <c r="H361" s="81" t="s">
        <v>110</v>
      </c>
      <c r="I361" s="81" t="s">
        <v>1357</v>
      </c>
      <c r="J361" s="81" t="s">
        <v>1358</v>
      </c>
      <c r="K361" s="81"/>
      <c r="L361" s="62" t="s">
        <v>1359</v>
      </c>
      <c r="M361" s="81"/>
      <c r="N361" s="53"/>
      <c r="O361" s="54"/>
    </row>
    <row r="362" spans="1:15" ht="25.5" x14ac:dyDescent="0.25">
      <c r="A362" s="78" t="s">
        <v>1340</v>
      </c>
      <c r="B362" s="61" t="s">
        <v>1341</v>
      </c>
      <c r="C362" s="85" t="s">
        <v>21</v>
      </c>
      <c r="D362" s="85"/>
      <c r="E362" s="81" t="s">
        <v>416</v>
      </c>
      <c r="F362" s="81"/>
      <c r="G362" s="81" t="s">
        <v>69</v>
      </c>
      <c r="H362" s="81" t="s">
        <v>110</v>
      </c>
      <c r="I362" s="81" t="s">
        <v>1360</v>
      </c>
      <c r="J362" s="81" t="s">
        <v>1361</v>
      </c>
      <c r="K362" s="81"/>
      <c r="L362" s="62" t="s">
        <v>113</v>
      </c>
      <c r="M362" s="81"/>
      <c r="N362" s="53"/>
      <c r="O362" s="54"/>
    </row>
    <row r="363" spans="1:15" ht="25.5" x14ac:dyDescent="0.25">
      <c r="A363" s="78" t="s">
        <v>1362</v>
      </c>
      <c r="B363" s="61" t="s">
        <v>1363</v>
      </c>
      <c r="C363" s="78" t="s">
        <v>1362</v>
      </c>
      <c r="D363" s="78"/>
      <c r="E363" s="79" t="s">
        <v>1364</v>
      </c>
      <c r="F363" s="79"/>
      <c r="G363" s="79"/>
      <c r="H363" s="79" t="s">
        <v>62</v>
      </c>
      <c r="I363" s="79" t="s">
        <v>1365</v>
      </c>
      <c r="J363" s="79" t="s">
        <v>1366</v>
      </c>
      <c r="K363" s="79" t="s">
        <v>1367</v>
      </c>
      <c r="L363" s="52" t="str">
        <f>HYPERLINK("https://zibs.nl/wiki/Brandwond-v3.2(2017NL)#","")</f>
        <v/>
      </c>
      <c r="M363" s="79"/>
      <c r="N363" s="53"/>
      <c r="O363" s="54"/>
    </row>
    <row r="364" spans="1:15" ht="25.5" x14ac:dyDescent="0.25">
      <c r="A364" s="78" t="s">
        <v>1362</v>
      </c>
      <c r="B364" s="61" t="s">
        <v>1363</v>
      </c>
      <c r="C364" s="85" t="s">
        <v>1368</v>
      </c>
      <c r="D364" s="85"/>
      <c r="E364" s="81" t="s">
        <v>1369</v>
      </c>
      <c r="F364" s="81" t="s">
        <v>88</v>
      </c>
      <c r="G364" s="81" t="s">
        <v>69</v>
      </c>
      <c r="H364" s="81" t="s">
        <v>70</v>
      </c>
      <c r="I364" s="81" t="s">
        <v>1370</v>
      </c>
      <c r="J364" s="81" t="s">
        <v>1371</v>
      </c>
      <c r="K364" s="81"/>
      <c r="L364" s="52" t="str">
        <f>HYPERLINK("https://zibs.nl/wiki/Brandwond-v3.2(2017NL)#","")</f>
        <v/>
      </c>
      <c r="M364" s="81"/>
      <c r="N364" s="53"/>
      <c r="O364" s="54"/>
    </row>
    <row r="365" spans="1:15" ht="114.75" x14ac:dyDescent="0.25">
      <c r="A365" s="78" t="s">
        <v>1362</v>
      </c>
      <c r="B365" s="61" t="s">
        <v>1363</v>
      </c>
      <c r="C365" s="85" t="s">
        <v>1372</v>
      </c>
      <c r="D365" s="85"/>
      <c r="E365" s="81" t="s">
        <v>1373</v>
      </c>
      <c r="F365" s="81" t="s">
        <v>97</v>
      </c>
      <c r="G365" s="81" t="s">
        <v>69</v>
      </c>
      <c r="H365" s="81" t="s">
        <v>70</v>
      </c>
      <c r="I365" s="81" t="s">
        <v>1374</v>
      </c>
      <c r="J365" s="81" t="s">
        <v>1375</v>
      </c>
      <c r="K365" s="81"/>
      <c r="L365" s="52" t="str">
        <f>HYPERLINK("https://zibs.nl/wiki/Brandwond-v3.2(2017NL)#","")</f>
        <v/>
      </c>
      <c r="M365" s="81"/>
      <c r="N365" s="53"/>
      <c r="O365" s="54"/>
    </row>
    <row r="366" spans="1:15" ht="25.5" x14ac:dyDescent="0.25">
      <c r="A366" s="78" t="s">
        <v>1362</v>
      </c>
      <c r="B366" s="61" t="s">
        <v>1363</v>
      </c>
      <c r="C366" s="85" t="s">
        <v>1376</v>
      </c>
      <c r="D366" s="85"/>
      <c r="E366" s="81" t="s">
        <v>1377</v>
      </c>
      <c r="F366" s="81" t="s">
        <v>76</v>
      </c>
      <c r="G366" s="81" t="s">
        <v>69</v>
      </c>
      <c r="H366" s="81" t="s">
        <v>70</v>
      </c>
      <c r="I366" s="81" t="s">
        <v>1378</v>
      </c>
      <c r="J366" s="81" t="s">
        <v>1379</v>
      </c>
      <c r="K366" s="81"/>
      <c r="L366" s="52" t="str">
        <f>HYPERLINK("https://zibs.nl/wiki/Brandwond-v3.2(2017NL)#BrandwondSoortCodelijst","BrandwondSoortCodelijst")</f>
        <v>BrandwondSoortCodelijst</v>
      </c>
      <c r="M366" s="81"/>
      <c r="N366" s="53"/>
      <c r="O366" s="54"/>
    </row>
    <row r="367" spans="1:15" ht="25.5" x14ac:dyDescent="0.25">
      <c r="A367" s="78" t="s">
        <v>1362</v>
      </c>
      <c r="B367" s="61" t="s">
        <v>1363</v>
      </c>
      <c r="C367" s="85" t="s">
        <v>543</v>
      </c>
      <c r="D367" s="85"/>
      <c r="E367" s="81" t="s">
        <v>544</v>
      </c>
      <c r="F367" s="81" t="s">
        <v>76</v>
      </c>
      <c r="G367" s="81" t="s">
        <v>69</v>
      </c>
      <c r="H367" s="81" t="s">
        <v>70</v>
      </c>
      <c r="I367" s="81" t="s">
        <v>1380</v>
      </c>
      <c r="J367" s="81" t="s">
        <v>1381</v>
      </c>
      <c r="K367" s="81" t="s">
        <v>1382</v>
      </c>
      <c r="L367" s="52" t="str">
        <f>HYPERLINK("https://zibs.nl/wiki/Brandwond-v3.2(2017NL)#BrandwondAnatomischeLocatieCodelijst","BrandwondAnatomischeLocatieCodelijst")</f>
        <v>BrandwondAnatomischeLocatieCodelijst</v>
      </c>
      <c r="M367" s="81"/>
      <c r="N367" s="53"/>
      <c r="O367" s="54"/>
    </row>
    <row r="368" spans="1:15" ht="25.5" x14ac:dyDescent="0.25">
      <c r="A368" s="78" t="s">
        <v>1362</v>
      </c>
      <c r="B368" s="61" t="s">
        <v>1363</v>
      </c>
      <c r="C368" s="85" t="s">
        <v>548</v>
      </c>
      <c r="D368" s="85"/>
      <c r="E368" s="81" t="s">
        <v>549</v>
      </c>
      <c r="F368" s="81" t="s">
        <v>76</v>
      </c>
      <c r="G368" s="81" t="s">
        <v>69</v>
      </c>
      <c r="H368" s="81" t="s">
        <v>70</v>
      </c>
      <c r="I368" s="81" t="s">
        <v>1383</v>
      </c>
      <c r="J368" s="81" t="s">
        <v>551</v>
      </c>
      <c r="K368" s="81" t="s">
        <v>552</v>
      </c>
      <c r="L368" s="52" t="str">
        <f>HYPERLINK("https://zibs.nl/wiki/Brandwond-v3.2(2017NL)#BrandwondLateraliteitCodelijst","BrandwondLateraliteitCodelijst")</f>
        <v>BrandwondLateraliteitCodelijst</v>
      </c>
      <c r="M368" s="81"/>
      <c r="N368" s="53"/>
      <c r="O368" s="54"/>
    </row>
    <row r="369" spans="1:15" ht="25.5" x14ac:dyDescent="0.25">
      <c r="A369" s="78" t="s">
        <v>1362</v>
      </c>
      <c r="B369" s="61" t="s">
        <v>1363</v>
      </c>
      <c r="C369" s="85" t="s">
        <v>1384</v>
      </c>
      <c r="D369" s="85"/>
      <c r="E369" s="81" t="s">
        <v>1176</v>
      </c>
      <c r="F369" s="81" t="s">
        <v>474</v>
      </c>
      <c r="G369" s="81" t="s">
        <v>77</v>
      </c>
      <c r="H369" s="81" t="s">
        <v>70</v>
      </c>
      <c r="I369" s="81" t="s">
        <v>1385</v>
      </c>
      <c r="J369" s="81" t="s">
        <v>1386</v>
      </c>
      <c r="K369" s="81" t="s">
        <v>1387</v>
      </c>
      <c r="L369" s="52" t="str">
        <f>HYPERLINK("https://zibs.nl/wiki/Brandwond-v3.2(2017NL)#DieptegraadCodelijst","DieptegraadCodelijst")</f>
        <v>DieptegraadCodelijst</v>
      </c>
      <c r="M369" s="81"/>
      <c r="N369" s="53"/>
      <c r="O369" s="54"/>
    </row>
    <row r="370" spans="1:15" ht="25.5" x14ac:dyDescent="0.25">
      <c r="A370" s="78" t="s">
        <v>1362</v>
      </c>
      <c r="B370" s="61" t="s">
        <v>1363</v>
      </c>
      <c r="C370" s="85" t="s">
        <v>66</v>
      </c>
      <c r="D370" s="85"/>
      <c r="E370" s="81" t="s">
        <v>67</v>
      </c>
      <c r="F370" s="81" t="s">
        <v>68</v>
      </c>
      <c r="G370" s="81" t="s">
        <v>69</v>
      </c>
      <c r="H370" s="81" t="s">
        <v>70</v>
      </c>
      <c r="I370" s="81" t="s">
        <v>1388</v>
      </c>
      <c r="J370" s="81" t="s">
        <v>1389</v>
      </c>
      <c r="K370" s="81" t="s">
        <v>73</v>
      </c>
      <c r="L370" s="52" t="str">
        <f>HYPERLINK("https://zibs.nl/wiki/Brandwond-v3.2(2017NL)#","")</f>
        <v/>
      </c>
      <c r="M370" s="81"/>
      <c r="N370" s="53"/>
      <c r="O370" s="54"/>
    </row>
    <row r="371" spans="1:15" ht="38.25" x14ac:dyDescent="0.25">
      <c r="A371" s="78" t="s">
        <v>1362</v>
      </c>
      <c r="B371" s="61" t="s">
        <v>1363</v>
      </c>
      <c r="C371" s="85" t="s">
        <v>1390</v>
      </c>
      <c r="D371" s="85"/>
      <c r="E371" s="81" t="s">
        <v>1391</v>
      </c>
      <c r="F371" s="81" t="s">
        <v>88</v>
      </c>
      <c r="G371" s="81" t="s">
        <v>69</v>
      </c>
      <c r="H371" s="81" t="s">
        <v>70</v>
      </c>
      <c r="I371" s="81" t="s">
        <v>1392</v>
      </c>
      <c r="J371" s="81" t="s">
        <v>1393</v>
      </c>
      <c r="K371" s="81"/>
      <c r="L371" s="52" t="str">
        <f>HYPERLINK("https://zibs.nl/wiki/Brandwond-v3.2(2017NL)#","")</f>
        <v/>
      </c>
      <c r="M371" s="81"/>
      <c r="N371" s="53"/>
      <c r="O371" s="54"/>
    </row>
    <row r="372" spans="1:15" ht="38.25" x14ac:dyDescent="0.25">
      <c r="A372" s="78" t="s">
        <v>1394</v>
      </c>
      <c r="B372" s="61" t="s">
        <v>1395</v>
      </c>
      <c r="C372" s="78" t="s">
        <v>1394</v>
      </c>
      <c r="D372" s="78"/>
      <c r="E372" s="79" t="s">
        <v>1396</v>
      </c>
      <c r="F372" s="79"/>
      <c r="G372" s="79"/>
      <c r="H372" s="79" t="s">
        <v>62</v>
      </c>
      <c r="I372" s="79" t="s">
        <v>1397</v>
      </c>
      <c r="J372" s="79" t="s">
        <v>1398</v>
      </c>
      <c r="K372" s="79"/>
      <c r="L372" s="52" t="str">
        <f t="shared" ref="L372:L385" si="3">HYPERLINK("https://zibs.nl/wiki/ChecklistPijngedrag-v1.0(2017NL)#","")</f>
        <v/>
      </c>
      <c r="M372" s="79"/>
      <c r="N372" s="53"/>
      <c r="O372" s="54"/>
    </row>
    <row r="373" spans="1:15" ht="25.5" x14ac:dyDescent="0.25">
      <c r="A373" s="78" t="s">
        <v>1394</v>
      </c>
      <c r="B373" s="61" t="s">
        <v>1395</v>
      </c>
      <c r="C373" s="85" t="s">
        <v>1335</v>
      </c>
      <c r="D373" s="85"/>
      <c r="E373" s="81" t="s">
        <v>1336</v>
      </c>
      <c r="F373" s="81" t="s">
        <v>505</v>
      </c>
      <c r="G373" s="81" t="s">
        <v>69</v>
      </c>
      <c r="H373" s="81" t="s">
        <v>70</v>
      </c>
      <c r="I373" s="81" t="s">
        <v>1399</v>
      </c>
      <c r="J373" s="81" t="s">
        <v>1400</v>
      </c>
      <c r="K373" s="81"/>
      <c r="L373" s="52" t="str">
        <f t="shared" si="3"/>
        <v/>
      </c>
      <c r="M373" s="81" t="s">
        <v>1255</v>
      </c>
      <c r="N373" s="53"/>
      <c r="O373" s="54"/>
    </row>
    <row r="374" spans="1:15" ht="25.5" x14ac:dyDescent="0.25">
      <c r="A374" s="78" t="s">
        <v>1394</v>
      </c>
      <c r="B374" s="61" t="s">
        <v>1395</v>
      </c>
      <c r="C374" s="85" t="s">
        <v>1401</v>
      </c>
      <c r="D374" s="85"/>
      <c r="E374" s="81" t="s">
        <v>1402</v>
      </c>
      <c r="F374" s="81" t="s">
        <v>505</v>
      </c>
      <c r="G374" s="81" t="s">
        <v>69</v>
      </c>
      <c r="H374" s="81" t="s">
        <v>70</v>
      </c>
      <c r="I374" s="81" t="s">
        <v>1403</v>
      </c>
      <c r="J374" s="81" t="s">
        <v>1404</v>
      </c>
      <c r="K374" s="81"/>
      <c r="L374" s="52" t="str">
        <f t="shared" si="3"/>
        <v/>
      </c>
      <c r="M374" s="81"/>
      <c r="N374" s="53"/>
      <c r="O374" s="54"/>
    </row>
    <row r="375" spans="1:15" ht="38.25" x14ac:dyDescent="0.25">
      <c r="A375" s="78" t="s">
        <v>1394</v>
      </c>
      <c r="B375" s="61" t="s">
        <v>1395</v>
      </c>
      <c r="C375" s="85" t="s">
        <v>1405</v>
      </c>
      <c r="D375" s="85"/>
      <c r="E375" s="81" t="s">
        <v>1406</v>
      </c>
      <c r="F375" s="81" t="s">
        <v>505</v>
      </c>
      <c r="G375" s="81" t="s">
        <v>69</v>
      </c>
      <c r="H375" s="81" t="s">
        <v>70</v>
      </c>
      <c r="I375" s="81" t="s">
        <v>1407</v>
      </c>
      <c r="J375" s="81" t="s">
        <v>1408</v>
      </c>
      <c r="K375" s="81"/>
      <c r="L375" s="52" t="str">
        <f t="shared" si="3"/>
        <v/>
      </c>
      <c r="M375" s="81"/>
      <c r="N375" s="53"/>
      <c r="O375" s="54"/>
    </row>
    <row r="376" spans="1:15" ht="25.5" x14ac:dyDescent="0.25">
      <c r="A376" s="78" t="s">
        <v>1394</v>
      </c>
      <c r="B376" s="61" t="s">
        <v>1395</v>
      </c>
      <c r="C376" s="85" t="s">
        <v>1409</v>
      </c>
      <c r="D376" s="85"/>
      <c r="E376" s="81" t="s">
        <v>1410</v>
      </c>
      <c r="F376" s="81" t="s">
        <v>505</v>
      </c>
      <c r="G376" s="81" t="s">
        <v>69</v>
      </c>
      <c r="H376" s="81" t="s">
        <v>70</v>
      </c>
      <c r="I376" s="81" t="s">
        <v>1411</v>
      </c>
      <c r="J376" s="81" t="s">
        <v>1412</v>
      </c>
      <c r="K376" s="81"/>
      <c r="L376" s="52" t="str">
        <f t="shared" si="3"/>
        <v/>
      </c>
      <c r="M376" s="81"/>
      <c r="N376" s="53"/>
      <c r="O376" s="54"/>
    </row>
    <row r="377" spans="1:15" ht="38.25" x14ac:dyDescent="0.25">
      <c r="A377" s="78" t="s">
        <v>1394</v>
      </c>
      <c r="B377" s="61" t="s">
        <v>1395</v>
      </c>
      <c r="C377" s="85" t="s">
        <v>1413</v>
      </c>
      <c r="D377" s="85"/>
      <c r="E377" s="81" t="s">
        <v>1414</v>
      </c>
      <c r="F377" s="81" t="s">
        <v>505</v>
      </c>
      <c r="G377" s="81" t="s">
        <v>69</v>
      </c>
      <c r="H377" s="81" t="s">
        <v>70</v>
      </c>
      <c r="I377" s="81" t="s">
        <v>1415</v>
      </c>
      <c r="J377" s="81" t="s">
        <v>1416</v>
      </c>
      <c r="K377" s="81"/>
      <c r="L377" s="52" t="str">
        <f t="shared" si="3"/>
        <v/>
      </c>
      <c r="M377" s="81"/>
      <c r="N377" s="53"/>
      <c r="O377" s="54"/>
    </row>
    <row r="378" spans="1:15" ht="38.25" x14ac:dyDescent="0.25">
      <c r="A378" s="78" t="s">
        <v>1394</v>
      </c>
      <c r="B378" s="61" t="s">
        <v>1395</v>
      </c>
      <c r="C378" s="85" t="s">
        <v>1417</v>
      </c>
      <c r="D378" s="85"/>
      <c r="E378" s="81" t="s">
        <v>1418</v>
      </c>
      <c r="F378" s="81" t="s">
        <v>505</v>
      </c>
      <c r="G378" s="81" t="s">
        <v>69</v>
      </c>
      <c r="H378" s="81" t="s">
        <v>70</v>
      </c>
      <c r="I378" s="81" t="s">
        <v>1419</v>
      </c>
      <c r="J378" s="81" t="s">
        <v>1420</v>
      </c>
      <c r="K378" s="81"/>
      <c r="L378" s="52" t="str">
        <f t="shared" si="3"/>
        <v/>
      </c>
      <c r="M378" s="81"/>
      <c r="N378" s="53"/>
      <c r="O378" s="54"/>
    </row>
    <row r="379" spans="1:15" ht="51" x14ac:dyDescent="0.25">
      <c r="A379" s="78" t="s">
        <v>1394</v>
      </c>
      <c r="B379" s="61" t="s">
        <v>1395</v>
      </c>
      <c r="C379" s="85" t="s">
        <v>1421</v>
      </c>
      <c r="D379" s="85"/>
      <c r="E379" s="81" t="s">
        <v>1422</v>
      </c>
      <c r="F379" s="81" t="s">
        <v>505</v>
      </c>
      <c r="G379" s="81" t="s">
        <v>69</v>
      </c>
      <c r="H379" s="81" t="s">
        <v>70</v>
      </c>
      <c r="I379" s="81" t="s">
        <v>1423</v>
      </c>
      <c r="J379" s="81" t="s">
        <v>1424</v>
      </c>
      <c r="K379" s="81"/>
      <c r="L379" s="52" t="str">
        <f t="shared" si="3"/>
        <v/>
      </c>
      <c r="M379" s="81"/>
      <c r="N379" s="53"/>
      <c r="O379" s="54"/>
    </row>
    <row r="380" spans="1:15" ht="25.5" x14ac:dyDescent="0.25">
      <c r="A380" s="78" t="s">
        <v>1394</v>
      </c>
      <c r="B380" s="61" t="s">
        <v>1395</v>
      </c>
      <c r="C380" s="85" t="s">
        <v>1425</v>
      </c>
      <c r="D380" s="85"/>
      <c r="E380" s="81" t="s">
        <v>1426</v>
      </c>
      <c r="F380" s="81" t="s">
        <v>505</v>
      </c>
      <c r="G380" s="81" t="s">
        <v>69</v>
      </c>
      <c r="H380" s="81" t="s">
        <v>70</v>
      </c>
      <c r="I380" s="81" t="s">
        <v>1427</v>
      </c>
      <c r="J380" s="81" t="s">
        <v>1428</v>
      </c>
      <c r="K380" s="81"/>
      <c r="L380" s="52" t="str">
        <f t="shared" si="3"/>
        <v/>
      </c>
      <c r="M380" s="81"/>
      <c r="N380" s="53"/>
      <c r="O380" s="54"/>
    </row>
    <row r="381" spans="1:15" ht="38.25" x14ac:dyDescent="0.25">
      <c r="A381" s="78" t="s">
        <v>1394</v>
      </c>
      <c r="B381" s="61" t="s">
        <v>1395</v>
      </c>
      <c r="C381" s="85" t="s">
        <v>1429</v>
      </c>
      <c r="D381" s="85"/>
      <c r="E381" s="81" t="s">
        <v>1430</v>
      </c>
      <c r="F381" s="81" t="s">
        <v>505</v>
      </c>
      <c r="G381" s="81" t="s">
        <v>69</v>
      </c>
      <c r="H381" s="81" t="s">
        <v>70</v>
      </c>
      <c r="I381" s="81" t="s">
        <v>1431</v>
      </c>
      <c r="J381" s="81" t="s">
        <v>1432</v>
      </c>
      <c r="K381" s="81"/>
      <c r="L381" s="52" t="str">
        <f t="shared" si="3"/>
        <v/>
      </c>
      <c r="M381" s="81"/>
      <c r="N381" s="53"/>
      <c r="O381" s="54"/>
    </row>
    <row r="382" spans="1:15" ht="38.25" x14ac:dyDescent="0.25">
      <c r="A382" s="78" t="s">
        <v>1394</v>
      </c>
      <c r="B382" s="61" t="s">
        <v>1395</v>
      </c>
      <c r="C382" s="85" t="s">
        <v>1433</v>
      </c>
      <c r="D382" s="85"/>
      <c r="E382" s="81" t="s">
        <v>1434</v>
      </c>
      <c r="F382" s="81" t="s">
        <v>505</v>
      </c>
      <c r="G382" s="81" t="s">
        <v>69</v>
      </c>
      <c r="H382" s="81" t="s">
        <v>70</v>
      </c>
      <c r="I382" s="81" t="s">
        <v>1435</v>
      </c>
      <c r="J382" s="81" t="s">
        <v>1436</v>
      </c>
      <c r="K382" s="81"/>
      <c r="L382" s="52" t="str">
        <f t="shared" si="3"/>
        <v/>
      </c>
      <c r="M382" s="81"/>
      <c r="N382" s="53"/>
      <c r="O382" s="54"/>
    </row>
    <row r="383" spans="1:15" ht="38.25" x14ac:dyDescent="0.25">
      <c r="A383" s="78" t="s">
        <v>1394</v>
      </c>
      <c r="B383" s="61" t="s">
        <v>1395</v>
      </c>
      <c r="C383" s="85" t="s">
        <v>1437</v>
      </c>
      <c r="D383" s="85"/>
      <c r="E383" s="81" t="s">
        <v>1438</v>
      </c>
      <c r="F383" s="81" t="s">
        <v>505</v>
      </c>
      <c r="G383" s="81" t="s">
        <v>69</v>
      </c>
      <c r="H383" s="81" t="s">
        <v>70</v>
      </c>
      <c r="I383" s="81" t="s">
        <v>1439</v>
      </c>
      <c r="J383" s="81" t="s">
        <v>1440</v>
      </c>
      <c r="K383" s="81"/>
      <c r="L383" s="52" t="str">
        <f t="shared" si="3"/>
        <v/>
      </c>
      <c r="M383" s="81"/>
      <c r="N383" s="53"/>
      <c r="O383" s="54"/>
    </row>
    <row r="384" spans="1:15" ht="38.25" x14ac:dyDescent="0.25">
      <c r="A384" s="78" t="s">
        <v>1394</v>
      </c>
      <c r="B384" s="61" t="s">
        <v>1395</v>
      </c>
      <c r="C384" s="85" t="s">
        <v>1441</v>
      </c>
      <c r="D384" s="85"/>
      <c r="E384" s="81" t="s">
        <v>1442</v>
      </c>
      <c r="F384" s="81" t="s">
        <v>88</v>
      </c>
      <c r="G384" s="81" t="s">
        <v>77</v>
      </c>
      <c r="H384" s="81" t="s">
        <v>70</v>
      </c>
      <c r="I384" s="81" t="s">
        <v>1443</v>
      </c>
      <c r="J384" s="81" t="s">
        <v>1444</v>
      </c>
      <c r="K384" s="81"/>
      <c r="L384" s="52" t="str">
        <f t="shared" si="3"/>
        <v/>
      </c>
      <c r="M384" s="81"/>
      <c r="N384" s="53"/>
      <c r="O384" s="54"/>
    </row>
    <row r="385" spans="1:15" ht="38.25" x14ac:dyDescent="0.25">
      <c r="A385" s="78" t="s">
        <v>1394</v>
      </c>
      <c r="B385" s="61" t="s">
        <v>1395</v>
      </c>
      <c r="C385" s="85" t="s">
        <v>66</v>
      </c>
      <c r="D385" s="85"/>
      <c r="E385" s="81" t="s">
        <v>67</v>
      </c>
      <c r="F385" s="81" t="s">
        <v>68</v>
      </c>
      <c r="G385" s="81" t="s">
        <v>69</v>
      </c>
      <c r="H385" s="81" t="s">
        <v>70</v>
      </c>
      <c r="I385" s="81" t="s">
        <v>1445</v>
      </c>
      <c r="J385" s="81" t="s">
        <v>1446</v>
      </c>
      <c r="K385" s="81" t="s">
        <v>73</v>
      </c>
      <c r="L385" s="52" t="str">
        <f t="shared" si="3"/>
        <v/>
      </c>
      <c r="M385" s="81"/>
      <c r="N385" s="53"/>
      <c r="O385" s="54"/>
    </row>
    <row r="386" spans="1:15" ht="25.5" x14ac:dyDescent="0.25">
      <c r="A386" s="78" t="s">
        <v>1447</v>
      </c>
      <c r="B386" s="61" t="s">
        <v>1448</v>
      </c>
      <c r="C386" s="78" t="s">
        <v>1447</v>
      </c>
      <c r="D386" s="78"/>
      <c r="E386" s="79" t="s">
        <v>1449</v>
      </c>
      <c r="F386" s="79"/>
      <c r="G386" s="79"/>
      <c r="H386" s="79" t="s">
        <v>62</v>
      </c>
      <c r="I386" s="79" t="s">
        <v>1450</v>
      </c>
      <c r="J386" s="79" t="s">
        <v>1451</v>
      </c>
      <c r="K386" s="79" t="s">
        <v>1452</v>
      </c>
      <c r="L386" s="52" t="str">
        <f>HYPERLINK("https://zibs.nl/wiki/Darmfunctie-v3.1(2017NL)#","")</f>
        <v/>
      </c>
      <c r="M386" s="79"/>
      <c r="N386" s="53"/>
      <c r="O386" s="54"/>
    </row>
    <row r="387" spans="1:15" ht="25.5" x14ac:dyDescent="0.25">
      <c r="A387" s="78" t="s">
        <v>1447</v>
      </c>
      <c r="B387" s="61" t="s">
        <v>1448</v>
      </c>
      <c r="C387" s="85" t="s">
        <v>1453</v>
      </c>
      <c r="D387" s="85"/>
      <c r="E387" s="81" t="s">
        <v>1454</v>
      </c>
      <c r="F387" s="81" t="s">
        <v>474</v>
      </c>
      <c r="G387" s="81" t="s">
        <v>69</v>
      </c>
      <c r="H387" s="81" t="s">
        <v>70</v>
      </c>
      <c r="I387" s="81" t="s">
        <v>1455</v>
      </c>
      <c r="J387" s="81" t="s">
        <v>1456</v>
      </c>
      <c r="K387" s="81" t="s">
        <v>1457</v>
      </c>
      <c r="L387" s="52" t="str">
        <f>HYPERLINK("https://zibs.nl/wiki/Darmfunctie-v3.1(2017NL)#FecesContinentieCodelijst","FecesContinentieCodelijst")</f>
        <v>FecesContinentieCodelijst</v>
      </c>
      <c r="M387" s="81"/>
      <c r="N387" s="53"/>
      <c r="O387" s="54"/>
    </row>
    <row r="388" spans="1:15" ht="38.25" x14ac:dyDescent="0.25">
      <c r="A388" s="78" t="s">
        <v>1447</v>
      </c>
      <c r="B388" s="61" t="s">
        <v>1448</v>
      </c>
      <c r="C388" s="85" t="s">
        <v>1458</v>
      </c>
      <c r="D388" s="85"/>
      <c r="E388" s="81" t="s">
        <v>1459</v>
      </c>
      <c r="F388" s="81"/>
      <c r="G388" s="81" t="s">
        <v>69</v>
      </c>
      <c r="H388" s="81" t="s">
        <v>110</v>
      </c>
      <c r="I388" s="81" t="s">
        <v>1460</v>
      </c>
      <c r="J388" s="81" t="s">
        <v>1461</v>
      </c>
      <c r="K388" s="81"/>
      <c r="L388" s="62" t="s">
        <v>1462</v>
      </c>
      <c r="M388" s="81"/>
      <c r="N388" s="53"/>
      <c r="O388" s="54"/>
    </row>
    <row r="389" spans="1:15" ht="38.25" x14ac:dyDescent="0.25">
      <c r="A389" s="78" t="s">
        <v>1447</v>
      </c>
      <c r="B389" s="61" t="s">
        <v>1448</v>
      </c>
      <c r="C389" s="85" t="s">
        <v>1463</v>
      </c>
      <c r="D389" s="85"/>
      <c r="E389" s="81" t="s">
        <v>1464</v>
      </c>
      <c r="F389" s="81" t="s">
        <v>97</v>
      </c>
      <c r="G389" s="81" t="s">
        <v>69</v>
      </c>
      <c r="H389" s="81" t="s">
        <v>70</v>
      </c>
      <c r="I389" s="81" t="s">
        <v>1465</v>
      </c>
      <c r="J389" s="81" t="s">
        <v>1466</v>
      </c>
      <c r="K389" s="81" t="s">
        <v>1467</v>
      </c>
      <c r="L389" s="52" t="str">
        <f>HYPERLINK("https://zibs.nl/wiki/Darmfunctie-v3.1(2017NL)#","")</f>
        <v/>
      </c>
      <c r="M389" s="81"/>
      <c r="N389" s="53"/>
      <c r="O389" s="54"/>
    </row>
    <row r="390" spans="1:15" ht="38.25" x14ac:dyDescent="0.25">
      <c r="A390" s="78" t="s">
        <v>1447</v>
      </c>
      <c r="B390" s="61" t="s">
        <v>1448</v>
      </c>
      <c r="C390" s="85" t="s">
        <v>1468</v>
      </c>
      <c r="D390" s="85"/>
      <c r="E390" s="81" t="s">
        <v>1469</v>
      </c>
      <c r="F390" s="81" t="s">
        <v>76</v>
      </c>
      <c r="G390" s="81" t="s">
        <v>69</v>
      </c>
      <c r="H390" s="81" t="s">
        <v>70</v>
      </c>
      <c r="I390" s="81" t="s">
        <v>1470</v>
      </c>
      <c r="J390" s="81" t="s">
        <v>1471</v>
      </c>
      <c r="K390" s="81" t="s">
        <v>1472</v>
      </c>
      <c r="L390" s="52" t="str">
        <f>HYPERLINK("https://zibs.nl/wiki/Darmfunctie-v3.1(2017NL)#DefecatieConsistentieCodelijst","DefecatieConsistentieCodelijst")</f>
        <v>DefecatieConsistentieCodelijst</v>
      </c>
      <c r="M390" s="81"/>
      <c r="N390" s="53"/>
      <c r="O390" s="54"/>
    </row>
    <row r="391" spans="1:15" ht="25.5" x14ac:dyDescent="0.25">
      <c r="A391" s="78" t="s">
        <v>1447</v>
      </c>
      <c r="B391" s="61" t="s">
        <v>1448</v>
      </c>
      <c r="C391" s="85" t="s">
        <v>1473</v>
      </c>
      <c r="D391" s="85"/>
      <c r="E391" s="81" t="s">
        <v>1474</v>
      </c>
      <c r="F391" s="81" t="s">
        <v>76</v>
      </c>
      <c r="G391" s="81" t="s">
        <v>69</v>
      </c>
      <c r="H391" s="81" t="s">
        <v>70</v>
      </c>
      <c r="I391" s="81" t="s">
        <v>1475</v>
      </c>
      <c r="J391" s="81" t="s">
        <v>1476</v>
      </c>
      <c r="K391" s="81" t="s">
        <v>1477</v>
      </c>
      <c r="L391" s="52" t="str">
        <f>HYPERLINK("https://zibs.nl/wiki/Darmfunctie-v3.1(2017NL)#DefecatieKleurCodelijst","DefecatieKleurCodelijst")</f>
        <v>DefecatieKleurCodelijst</v>
      </c>
      <c r="M391" s="81"/>
      <c r="N391" s="53"/>
      <c r="O391" s="54"/>
    </row>
    <row r="392" spans="1:15" ht="38.25" x14ac:dyDescent="0.25">
      <c r="A392" s="78" t="s">
        <v>1447</v>
      </c>
      <c r="B392" s="61" t="s">
        <v>1448</v>
      </c>
      <c r="C392" s="85" t="s">
        <v>1478</v>
      </c>
      <c r="D392" s="85"/>
      <c r="E392" s="81" t="s">
        <v>1479</v>
      </c>
      <c r="F392" s="81"/>
      <c r="G392" s="81" t="s">
        <v>69</v>
      </c>
      <c r="H392" s="81" t="s">
        <v>110</v>
      </c>
      <c r="I392" s="81" t="s">
        <v>1480</v>
      </c>
      <c r="J392" s="81" t="s">
        <v>1481</v>
      </c>
      <c r="K392" s="81" t="s">
        <v>1482</v>
      </c>
      <c r="L392" s="62" t="s">
        <v>488</v>
      </c>
      <c r="M392" s="81"/>
      <c r="N392" s="53"/>
      <c r="O392" s="54"/>
    </row>
    <row r="393" spans="1:15" ht="25.5" x14ac:dyDescent="0.25">
      <c r="A393" s="78" t="s">
        <v>1447</v>
      </c>
      <c r="B393" s="61" t="s">
        <v>1448</v>
      </c>
      <c r="C393" s="85" t="s">
        <v>66</v>
      </c>
      <c r="D393" s="85"/>
      <c r="E393" s="81" t="s">
        <v>67</v>
      </c>
      <c r="F393" s="81" t="s">
        <v>68</v>
      </c>
      <c r="G393" s="81" t="s">
        <v>69</v>
      </c>
      <c r="H393" s="81" t="s">
        <v>70</v>
      </c>
      <c r="I393" s="81" t="s">
        <v>1483</v>
      </c>
      <c r="J393" s="81" t="s">
        <v>1484</v>
      </c>
      <c r="K393" s="81" t="s">
        <v>73</v>
      </c>
      <c r="L393" s="52" t="str">
        <f>HYPERLINK("https://zibs.nl/wiki/Darmfunctie-v3.1(2017NL)#","")</f>
        <v/>
      </c>
      <c r="M393" s="81"/>
      <c r="N393" s="53"/>
      <c r="O393" s="54"/>
    </row>
    <row r="394" spans="1:15" ht="25.5" x14ac:dyDescent="0.25">
      <c r="A394" s="78" t="s">
        <v>1485</v>
      </c>
      <c r="B394" s="61" t="s">
        <v>1486</v>
      </c>
      <c r="C394" s="78" t="s">
        <v>1485</v>
      </c>
      <c r="D394" s="78"/>
      <c r="E394" s="79" t="s">
        <v>1487</v>
      </c>
      <c r="F394" s="79"/>
      <c r="G394" s="79"/>
      <c r="H394" s="79" t="s">
        <v>62</v>
      </c>
      <c r="I394" s="79" t="s">
        <v>1488</v>
      </c>
      <c r="J394" s="79" t="s">
        <v>1489</v>
      </c>
      <c r="K394" s="79" t="s">
        <v>1490</v>
      </c>
      <c r="L394" s="52" t="str">
        <f>HYPERLINK("https://zibs.nl/wiki/DecubitusWond-v3.2(2017NL)#","")</f>
        <v/>
      </c>
      <c r="M394" s="79"/>
      <c r="N394" s="53"/>
      <c r="O394" s="54"/>
    </row>
    <row r="395" spans="1:15" ht="25.5" x14ac:dyDescent="0.25">
      <c r="A395" s="78" t="s">
        <v>1485</v>
      </c>
      <c r="B395" s="61" t="s">
        <v>1486</v>
      </c>
      <c r="C395" s="85" t="s">
        <v>1491</v>
      </c>
      <c r="D395" s="85"/>
      <c r="E395" s="81" t="s">
        <v>1492</v>
      </c>
      <c r="F395" s="81" t="s">
        <v>474</v>
      </c>
      <c r="G395" s="81" t="s">
        <v>77</v>
      </c>
      <c r="H395" s="81" t="s">
        <v>70</v>
      </c>
      <c r="I395" s="81" t="s">
        <v>1493</v>
      </c>
      <c r="J395" s="81" t="s">
        <v>1494</v>
      </c>
      <c r="K395" s="81" t="s">
        <v>1495</v>
      </c>
      <c r="L395" s="52" t="str">
        <f>HYPERLINK("https://zibs.nl/wiki/DecubitusWond-v3.2(2017NL)#DecubitusCategorieCodelijst","DecubitusCategorieCodelijst")</f>
        <v>DecubitusCategorieCodelijst</v>
      </c>
      <c r="M395" s="81"/>
      <c r="N395" s="53"/>
      <c r="O395" s="54"/>
    </row>
    <row r="396" spans="1:15" ht="25.5" x14ac:dyDescent="0.25">
      <c r="A396" s="78" t="s">
        <v>1485</v>
      </c>
      <c r="B396" s="61" t="s">
        <v>1486</v>
      </c>
      <c r="C396" s="85" t="s">
        <v>1368</v>
      </c>
      <c r="D396" s="85"/>
      <c r="E396" s="81" t="s">
        <v>1369</v>
      </c>
      <c r="F396" s="81" t="s">
        <v>88</v>
      </c>
      <c r="G396" s="81" t="s">
        <v>69</v>
      </c>
      <c r="H396" s="81" t="s">
        <v>70</v>
      </c>
      <c r="I396" s="81" t="s">
        <v>1496</v>
      </c>
      <c r="J396" s="81" t="s">
        <v>1497</v>
      </c>
      <c r="K396" s="81"/>
      <c r="L396" s="52" t="str">
        <f>HYPERLINK("https://zibs.nl/wiki/DecubitusWond-v3.2(2017NL)#","")</f>
        <v/>
      </c>
      <c r="M396" s="81"/>
      <c r="N396" s="53"/>
      <c r="O396" s="54"/>
    </row>
    <row r="397" spans="1:15" ht="25.5" x14ac:dyDescent="0.25">
      <c r="A397" s="78" t="s">
        <v>1485</v>
      </c>
      <c r="B397" s="61" t="s">
        <v>1486</v>
      </c>
      <c r="C397" s="85" t="s">
        <v>543</v>
      </c>
      <c r="D397" s="85"/>
      <c r="E397" s="81" t="s">
        <v>544</v>
      </c>
      <c r="F397" s="81" t="s">
        <v>76</v>
      </c>
      <c r="G397" s="81" t="s">
        <v>69</v>
      </c>
      <c r="H397" s="81" t="s">
        <v>70</v>
      </c>
      <c r="I397" s="81" t="s">
        <v>1498</v>
      </c>
      <c r="J397" s="81" t="s">
        <v>1499</v>
      </c>
      <c r="K397" s="81" t="s">
        <v>1382</v>
      </c>
      <c r="L397" s="52" t="str">
        <f>HYPERLINK("https://zibs.nl/wiki/DecubitusWond-v3.2(2017NL)#DecubitusAnatomischeLocatieCodelijst","DecubitusAnatomischeLocatieCodelijst")</f>
        <v>DecubitusAnatomischeLocatieCodelijst</v>
      </c>
      <c r="M397" s="81"/>
      <c r="N397" s="53"/>
      <c r="O397" s="54"/>
    </row>
    <row r="398" spans="1:15" ht="25.5" x14ac:dyDescent="0.25">
      <c r="A398" s="78" t="s">
        <v>1485</v>
      </c>
      <c r="B398" s="61" t="s">
        <v>1486</v>
      </c>
      <c r="C398" s="85" t="s">
        <v>548</v>
      </c>
      <c r="D398" s="85"/>
      <c r="E398" s="81" t="s">
        <v>549</v>
      </c>
      <c r="F398" s="81" t="s">
        <v>76</v>
      </c>
      <c r="G398" s="81" t="s">
        <v>69</v>
      </c>
      <c r="H398" s="81" t="s">
        <v>70</v>
      </c>
      <c r="I398" s="81" t="s">
        <v>1500</v>
      </c>
      <c r="J398" s="81" t="s">
        <v>551</v>
      </c>
      <c r="K398" s="81" t="s">
        <v>552</v>
      </c>
      <c r="L398" s="52" t="str">
        <f>HYPERLINK("https://zibs.nl/wiki/DecubitusWond-v3.2(2017NL)#DecubitusWondLateraliteitCodelijst","DecubitusWondLateraliteitCodelijst")</f>
        <v>DecubitusWondLateraliteitCodelijst</v>
      </c>
      <c r="M398" s="81"/>
      <c r="N398" s="53"/>
      <c r="O398" s="54"/>
    </row>
    <row r="399" spans="1:15" ht="38.25" x14ac:dyDescent="0.25">
      <c r="A399" s="78" t="s">
        <v>1485</v>
      </c>
      <c r="B399" s="61" t="s">
        <v>1486</v>
      </c>
      <c r="C399" s="85" t="s">
        <v>1390</v>
      </c>
      <c r="D399" s="85"/>
      <c r="E399" s="81" t="s">
        <v>1391</v>
      </c>
      <c r="F399" s="81" t="s">
        <v>88</v>
      </c>
      <c r="G399" s="81" t="s">
        <v>69</v>
      </c>
      <c r="H399" s="81" t="s">
        <v>70</v>
      </c>
      <c r="I399" s="81" t="s">
        <v>1501</v>
      </c>
      <c r="J399" s="81" t="s">
        <v>1502</v>
      </c>
      <c r="K399" s="81"/>
      <c r="L399" s="52" t="str">
        <f t="shared" ref="L399:L404" si="4">HYPERLINK("https://zibs.nl/wiki/DecubitusWond-v3.2(2017NL)#","")</f>
        <v/>
      </c>
      <c r="M399" s="81"/>
      <c r="N399" s="53"/>
      <c r="O399" s="54"/>
    </row>
    <row r="400" spans="1:15" ht="25.5" x14ac:dyDescent="0.25">
      <c r="A400" s="78" t="s">
        <v>1485</v>
      </c>
      <c r="B400" s="61" t="s">
        <v>1486</v>
      </c>
      <c r="C400" s="85" t="s">
        <v>1503</v>
      </c>
      <c r="D400" s="85"/>
      <c r="E400" s="81" t="s">
        <v>1504</v>
      </c>
      <c r="F400" s="81" t="s">
        <v>97</v>
      </c>
      <c r="G400" s="81" t="s">
        <v>69</v>
      </c>
      <c r="H400" s="81" t="s">
        <v>70</v>
      </c>
      <c r="I400" s="81" t="s">
        <v>1505</v>
      </c>
      <c r="J400" s="81" t="s">
        <v>1506</v>
      </c>
      <c r="K400" s="81" t="s">
        <v>1507</v>
      </c>
      <c r="L400" s="52" t="str">
        <f t="shared" si="4"/>
        <v/>
      </c>
      <c r="M400" s="81"/>
      <c r="N400" s="53"/>
      <c r="O400" s="54"/>
    </row>
    <row r="401" spans="1:15" ht="25.5" x14ac:dyDescent="0.25">
      <c r="A401" s="78" t="s">
        <v>1485</v>
      </c>
      <c r="B401" s="61" t="s">
        <v>1486</v>
      </c>
      <c r="C401" s="85" t="s">
        <v>1508</v>
      </c>
      <c r="D401" s="85"/>
      <c r="E401" s="81" t="s">
        <v>1509</v>
      </c>
      <c r="F401" s="81" t="s">
        <v>97</v>
      </c>
      <c r="G401" s="81" t="s">
        <v>69</v>
      </c>
      <c r="H401" s="81" t="s">
        <v>70</v>
      </c>
      <c r="I401" s="81" t="s">
        <v>1510</v>
      </c>
      <c r="J401" s="81" t="s">
        <v>1511</v>
      </c>
      <c r="K401" s="81" t="s">
        <v>1512</v>
      </c>
      <c r="L401" s="52" t="str">
        <f t="shared" si="4"/>
        <v/>
      </c>
      <c r="M401" s="81"/>
      <c r="N401" s="53"/>
      <c r="O401" s="54"/>
    </row>
    <row r="402" spans="1:15" ht="25.5" x14ac:dyDescent="0.25">
      <c r="A402" s="78" t="s">
        <v>1485</v>
      </c>
      <c r="B402" s="61" t="s">
        <v>1486</v>
      </c>
      <c r="C402" s="85" t="s">
        <v>1513</v>
      </c>
      <c r="D402" s="85"/>
      <c r="E402" s="81" t="s">
        <v>1514</v>
      </c>
      <c r="F402" s="81" t="s">
        <v>97</v>
      </c>
      <c r="G402" s="81" t="s">
        <v>69</v>
      </c>
      <c r="H402" s="81" t="s">
        <v>70</v>
      </c>
      <c r="I402" s="81" t="s">
        <v>1515</v>
      </c>
      <c r="J402" s="81" t="s">
        <v>1516</v>
      </c>
      <c r="K402" s="81" t="s">
        <v>1517</v>
      </c>
      <c r="L402" s="52" t="str">
        <f t="shared" si="4"/>
        <v/>
      </c>
      <c r="M402" s="81"/>
      <c r="N402" s="53"/>
      <c r="O402" s="54"/>
    </row>
    <row r="403" spans="1:15" ht="25.5" x14ac:dyDescent="0.25">
      <c r="A403" s="78" t="s">
        <v>1485</v>
      </c>
      <c r="B403" s="61" t="s">
        <v>1486</v>
      </c>
      <c r="C403" s="85" t="s">
        <v>1518</v>
      </c>
      <c r="D403" s="85"/>
      <c r="E403" s="81" t="s">
        <v>1519</v>
      </c>
      <c r="F403" s="81" t="s">
        <v>1112</v>
      </c>
      <c r="G403" s="81" t="s">
        <v>158</v>
      </c>
      <c r="H403" s="81" t="s">
        <v>70</v>
      </c>
      <c r="I403" s="81" t="s">
        <v>1520</v>
      </c>
      <c r="J403" s="81" t="s">
        <v>1521</v>
      </c>
      <c r="K403" s="81" t="s">
        <v>1522</v>
      </c>
      <c r="L403" s="52" t="str">
        <f t="shared" si="4"/>
        <v/>
      </c>
      <c r="M403" s="81"/>
      <c r="N403" s="53"/>
      <c r="O403" s="54"/>
    </row>
    <row r="404" spans="1:15" ht="25.5" x14ac:dyDescent="0.25">
      <c r="A404" s="78" t="s">
        <v>1485</v>
      </c>
      <c r="B404" s="61" t="s">
        <v>1486</v>
      </c>
      <c r="C404" s="85" t="s">
        <v>66</v>
      </c>
      <c r="D404" s="85"/>
      <c r="E404" s="81" t="s">
        <v>67</v>
      </c>
      <c r="F404" s="81" t="s">
        <v>68</v>
      </c>
      <c r="G404" s="81" t="s">
        <v>69</v>
      </c>
      <c r="H404" s="81" t="s">
        <v>70</v>
      </c>
      <c r="I404" s="81" t="s">
        <v>1523</v>
      </c>
      <c r="J404" s="81" t="s">
        <v>1524</v>
      </c>
      <c r="K404" s="81" t="s">
        <v>73</v>
      </c>
      <c r="L404" s="52" t="str">
        <f t="shared" si="4"/>
        <v/>
      </c>
      <c r="M404" s="81"/>
      <c r="N404" s="53"/>
      <c r="O404" s="54"/>
    </row>
    <row r="405" spans="1:15" ht="15" x14ac:dyDescent="0.25">
      <c r="A405" s="78" t="s">
        <v>1525</v>
      </c>
      <c r="B405" s="61" t="s">
        <v>1526</v>
      </c>
      <c r="C405" s="78" t="s">
        <v>1525</v>
      </c>
      <c r="D405" s="78"/>
      <c r="E405" s="79" t="s">
        <v>1527</v>
      </c>
      <c r="F405" s="79"/>
      <c r="G405" s="79"/>
      <c r="H405" s="79" t="s">
        <v>62</v>
      </c>
      <c r="I405" s="79" t="s">
        <v>1528</v>
      </c>
      <c r="J405" s="79" t="s">
        <v>1529</v>
      </c>
      <c r="K405" s="79"/>
      <c r="L405" s="52" t="str">
        <f t="shared" ref="L405:L421" si="5">HYPERLINK("https://zibs.nl/wiki/DOSScore-v1.0(2017NL)#","")</f>
        <v/>
      </c>
      <c r="M405" s="79"/>
      <c r="N405" s="53"/>
      <c r="O405" s="54"/>
    </row>
    <row r="406" spans="1:15" ht="102" x14ac:dyDescent="0.25">
      <c r="A406" s="78" t="s">
        <v>1525</v>
      </c>
      <c r="B406" s="61" t="s">
        <v>1526</v>
      </c>
      <c r="C406" s="85" t="s">
        <v>1530</v>
      </c>
      <c r="D406" s="85"/>
      <c r="E406" s="81" t="s">
        <v>1531</v>
      </c>
      <c r="F406" s="81" t="s">
        <v>505</v>
      </c>
      <c r="G406" s="81" t="s">
        <v>69</v>
      </c>
      <c r="H406" s="81" t="s">
        <v>70</v>
      </c>
      <c r="I406" s="81" t="s">
        <v>1532</v>
      </c>
      <c r="J406" s="81" t="s">
        <v>1533</v>
      </c>
      <c r="K406" s="81"/>
      <c r="L406" s="52" t="str">
        <f t="shared" si="5"/>
        <v/>
      </c>
      <c r="M406" s="81" t="s">
        <v>1534</v>
      </c>
      <c r="N406" s="53"/>
      <c r="O406" s="54"/>
    </row>
    <row r="407" spans="1:15" ht="25.5" x14ac:dyDescent="0.25">
      <c r="A407" s="78" t="s">
        <v>1525</v>
      </c>
      <c r="B407" s="61" t="s">
        <v>1526</v>
      </c>
      <c r="C407" s="85" t="s">
        <v>1535</v>
      </c>
      <c r="D407" s="85"/>
      <c r="E407" s="81" t="s">
        <v>1536</v>
      </c>
      <c r="F407" s="81" t="s">
        <v>88</v>
      </c>
      <c r="G407" s="81" t="s">
        <v>77</v>
      </c>
      <c r="H407" s="81" t="s">
        <v>70</v>
      </c>
      <c r="I407" s="81" t="s">
        <v>1537</v>
      </c>
      <c r="J407" s="81" t="s">
        <v>1538</v>
      </c>
      <c r="K407" s="81"/>
      <c r="L407" s="52" t="str">
        <f t="shared" si="5"/>
        <v/>
      </c>
      <c r="M407" s="81"/>
      <c r="N407" s="53"/>
      <c r="O407" s="54"/>
    </row>
    <row r="408" spans="1:15" ht="76.5" x14ac:dyDescent="0.25">
      <c r="A408" s="78" t="s">
        <v>1525</v>
      </c>
      <c r="B408" s="61" t="s">
        <v>1526</v>
      </c>
      <c r="C408" s="85" t="s">
        <v>1539</v>
      </c>
      <c r="D408" s="85"/>
      <c r="E408" s="81" t="s">
        <v>1540</v>
      </c>
      <c r="F408" s="81" t="s">
        <v>505</v>
      </c>
      <c r="G408" s="81" t="s">
        <v>69</v>
      </c>
      <c r="H408" s="81" t="s">
        <v>70</v>
      </c>
      <c r="I408" s="81" t="s">
        <v>1541</v>
      </c>
      <c r="J408" s="81" t="s">
        <v>1542</v>
      </c>
      <c r="K408" s="81"/>
      <c r="L408" s="52" t="str">
        <f t="shared" si="5"/>
        <v/>
      </c>
      <c r="M408" s="81"/>
      <c r="N408" s="53"/>
      <c r="O408" s="54"/>
    </row>
    <row r="409" spans="1:15" ht="127.5" x14ac:dyDescent="0.25">
      <c r="A409" s="78" t="s">
        <v>1525</v>
      </c>
      <c r="B409" s="61" t="s">
        <v>1526</v>
      </c>
      <c r="C409" s="85" t="s">
        <v>1543</v>
      </c>
      <c r="D409" s="85"/>
      <c r="E409" s="81" t="s">
        <v>1544</v>
      </c>
      <c r="F409" s="81" t="s">
        <v>505</v>
      </c>
      <c r="G409" s="81" t="s">
        <v>69</v>
      </c>
      <c r="H409" s="81" t="s">
        <v>70</v>
      </c>
      <c r="I409" s="81" t="s">
        <v>1545</v>
      </c>
      <c r="J409" s="81" t="s">
        <v>1546</v>
      </c>
      <c r="K409" s="81"/>
      <c r="L409" s="52" t="str">
        <f t="shared" si="5"/>
        <v/>
      </c>
      <c r="M409" s="81"/>
      <c r="N409" s="53"/>
      <c r="O409" s="54"/>
    </row>
    <row r="410" spans="1:15" ht="114.75" x14ac:dyDescent="0.25">
      <c r="A410" s="78" t="s">
        <v>1525</v>
      </c>
      <c r="B410" s="61" t="s">
        <v>1526</v>
      </c>
      <c r="C410" s="87"/>
      <c r="D410" s="87"/>
      <c r="E410" s="81" t="s">
        <v>1547</v>
      </c>
      <c r="F410" s="81" t="s">
        <v>505</v>
      </c>
      <c r="G410" s="81" t="s">
        <v>69</v>
      </c>
      <c r="H410" s="81" t="s">
        <v>70</v>
      </c>
      <c r="I410" s="81" t="s">
        <v>1548</v>
      </c>
      <c r="J410" s="81" t="s">
        <v>1549</v>
      </c>
      <c r="K410" s="81"/>
      <c r="L410" s="52" t="str">
        <f t="shared" si="5"/>
        <v/>
      </c>
      <c r="M410" s="81"/>
      <c r="N410" s="53"/>
      <c r="O410" s="54"/>
    </row>
    <row r="411" spans="1:15" ht="76.5" x14ac:dyDescent="0.25">
      <c r="A411" s="78" t="s">
        <v>1525</v>
      </c>
      <c r="B411" s="61" t="s">
        <v>1526</v>
      </c>
      <c r="C411" s="87"/>
      <c r="D411" s="87"/>
      <c r="E411" s="81" t="s">
        <v>1550</v>
      </c>
      <c r="F411" s="81" t="s">
        <v>505</v>
      </c>
      <c r="G411" s="81" t="s">
        <v>69</v>
      </c>
      <c r="H411" s="81" t="s">
        <v>70</v>
      </c>
      <c r="I411" s="81" t="s">
        <v>1551</v>
      </c>
      <c r="J411" s="81" t="s">
        <v>1552</v>
      </c>
      <c r="K411" s="81"/>
      <c r="L411" s="52" t="str">
        <f t="shared" si="5"/>
        <v/>
      </c>
      <c r="M411" s="81"/>
      <c r="N411" s="53"/>
      <c r="O411" s="54"/>
    </row>
    <row r="412" spans="1:15" ht="76.5" x14ac:dyDescent="0.25">
      <c r="A412" s="78" t="s">
        <v>1525</v>
      </c>
      <c r="B412" s="61" t="s">
        <v>1526</v>
      </c>
      <c r="C412" s="87"/>
      <c r="D412" s="87"/>
      <c r="E412" s="81" t="s">
        <v>1553</v>
      </c>
      <c r="F412" s="81" t="s">
        <v>505</v>
      </c>
      <c r="G412" s="81" t="s">
        <v>69</v>
      </c>
      <c r="H412" s="81" t="s">
        <v>70</v>
      </c>
      <c r="I412" s="81" t="s">
        <v>1554</v>
      </c>
      <c r="J412" s="81" t="s">
        <v>1555</v>
      </c>
      <c r="K412" s="81"/>
      <c r="L412" s="52" t="str">
        <f t="shared" si="5"/>
        <v/>
      </c>
      <c r="M412" s="81"/>
      <c r="N412" s="53"/>
      <c r="O412" s="54"/>
    </row>
    <row r="413" spans="1:15" ht="114.75" x14ac:dyDescent="0.25">
      <c r="A413" s="78" t="s">
        <v>1525</v>
      </c>
      <c r="B413" s="61" t="s">
        <v>1526</v>
      </c>
      <c r="C413" s="85" t="s">
        <v>1556</v>
      </c>
      <c r="D413" s="85"/>
      <c r="E413" s="81" t="s">
        <v>1557</v>
      </c>
      <c r="F413" s="81" t="s">
        <v>505</v>
      </c>
      <c r="G413" s="81" t="s">
        <v>69</v>
      </c>
      <c r="H413" s="81" t="s">
        <v>70</v>
      </c>
      <c r="I413" s="81" t="s">
        <v>1558</v>
      </c>
      <c r="J413" s="81" t="s">
        <v>1559</v>
      </c>
      <c r="K413" s="81"/>
      <c r="L413" s="52" t="str">
        <f t="shared" si="5"/>
        <v/>
      </c>
      <c r="M413" s="81"/>
      <c r="N413" s="53"/>
      <c r="O413" s="54"/>
    </row>
    <row r="414" spans="1:15" ht="102" x14ac:dyDescent="0.25">
      <c r="A414" s="78" t="s">
        <v>1525</v>
      </c>
      <c r="B414" s="61" t="s">
        <v>1526</v>
      </c>
      <c r="C414" s="85" t="s">
        <v>1560</v>
      </c>
      <c r="D414" s="85"/>
      <c r="E414" s="81" t="s">
        <v>1561</v>
      </c>
      <c r="F414" s="81" t="s">
        <v>505</v>
      </c>
      <c r="G414" s="81" t="s">
        <v>69</v>
      </c>
      <c r="H414" s="81" t="s">
        <v>70</v>
      </c>
      <c r="I414" s="81" t="s">
        <v>1562</v>
      </c>
      <c r="J414" s="81" t="s">
        <v>1563</v>
      </c>
      <c r="K414" s="81"/>
      <c r="L414" s="52" t="str">
        <f t="shared" si="5"/>
        <v/>
      </c>
      <c r="M414" s="81"/>
      <c r="N414" s="53"/>
      <c r="O414" s="54"/>
    </row>
    <row r="415" spans="1:15" ht="102" x14ac:dyDescent="0.25">
      <c r="A415" s="78" t="s">
        <v>1525</v>
      </c>
      <c r="B415" s="61" t="s">
        <v>1526</v>
      </c>
      <c r="C415" s="85" t="s">
        <v>1564</v>
      </c>
      <c r="D415" s="85"/>
      <c r="E415" s="81" t="s">
        <v>1565</v>
      </c>
      <c r="F415" s="81" t="s">
        <v>505</v>
      </c>
      <c r="G415" s="81" t="s">
        <v>69</v>
      </c>
      <c r="H415" s="81" t="s">
        <v>70</v>
      </c>
      <c r="I415" s="81" t="s">
        <v>1566</v>
      </c>
      <c r="J415" s="81" t="s">
        <v>1567</v>
      </c>
      <c r="K415" s="81"/>
      <c r="L415" s="52" t="str">
        <f t="shared" si="5"/>
        <v/>
      </c>
      <c r="M415" s="81"/>
      <c r="N415" s="53"/>
      <c r="O415" s="54"/>
    </row>
    <row r="416" spans="1:15" ht="114.75" x14ac:dyDescent="0.25">
      <c r="A416" s="78" t="s">
        <v>1525</v>
      </c>
      <c r="B416" s="61" t="s">
        <v>1526</v>
      </c>
      <c r="C416" s="87"/>
      <c r="D416" s="87"/>
      <c r="E416" s="81" t="s">
        <v>1568</v>
      </c>
      <c r="F416" s="81" t="s">
        <v>505</v>
      </c>
      <c r="G416" s="81" t="s">
        <v>69</v>
      </c>
      <c r="H416" s="81" t="s">
        <v>70</v>
      </c>
      <c r="I416" s="81" t="s">
        <v>1569</v>
      </c>
      <c r="J416" s="81" t="s">
        <v>1570</v>
      </c>
      <c r="K416" s="81"/>
      <c r="L416" s="52" t="str">
        <f t="shared" si="5"/>
        <v/>
      </c>
      <c r="M416" s="81"/>
      <c r="N416" s="53"/>
      <c r="O416" s="54"/>
    </row>
    <row r="417" spans="1:15" ht="76.5" x14ac:dyDescent="0.25">
      <c r="A417" s="78" t="s">
        <v>1525</v>
      </c>
      <c r="B417" s="61" t="s">
        <v>1526</v>
      </c>
      <c r="C417" s="85" t="s">
        <v>1571</v>
      </c>
      <c r="D417" s="85"/>
      <c r="E417" s="81" t="s">
        <v>1572</v>
      </c>
      <c r="F417" s="81" t="s">
        <v>505</v>
      </c>
      <c r="G417" s="81" t="s">
        <v>69</v>
      </c>
      <c r="H417" s="81" t="s">
        <v>70</v>
      </c>
      <c r="I417" s="81" t="s">
        <v>1573</v>
      </c>
      <c r="J417" s="81" t="s">
        <v>1574</v>
      </c>
      <c r="K417" s="81"/>
      <c r="L417" s="52" t="str">
        <f t="shared" si="5"/>
        <v/>
      </c>
      <c r="M417" s="81"/>
      <c r="N417" s="53"/>
      <c r="O417" s="54"/>
    </row>
    <row r="418" spans="1:15" ht="76.5" x14ac:dyDescent="0.25">
      <c r="A418" s="78" t="s">
        <v>1525</v>
      </c>
      <c r="B418" s="61" t="s">
        <v>1526</v>
      </c>
      <c r="C418" s="85" t="s">
        <v>1575</v>
      </c>
      <c r="D418" s="85"/>
      <c r="E418" s="81" t="s">
        <v>1576</v>
      </c>
      <c r="F418" s="81" t="s">
        <v>505</v>
      </c>
      <c r="G418" s="81" t="s">
        <v>69</v>
      </c>
      <c r="H418" s="81" t="s">
        <v>70</v>
      </c>
      <c r="I418" s="81" t="s">
        <v>1577</v>
      </c>
      <c r="J418" s="81" t="s">
        <v>1578</v>
      </c>
      <c r="K418" s="81"/>
      <c r="L418" s="52" t="str">
        <f t="shared" si="5"/>
        <v/>
      </c>
      <c r="M418" s="81"/>
      <c r="N418" s="53"/>
      <c r="O418" s="54"/>
    </row>
    <row r="419" spans="1:15" ht="114.75" x14ac:dyDescent="0.25">
      <c r="A419" s="78" t="s">
        <v>1525</v>
      </c>
      <c r="B419" s="61" t="s">
        <v>1526</v>
      </c>
      <c r="C419" s="85" t="s">
        <v>1579</v>
      </c>
      <c r="D419" s="85"/>
      <c r="E419" s="81" t="s">
        <v>1580</v>
      </c>
      <c r="F419" s="81" t="s">
        <v>505</v>
      </c>
      <c r="G419" s="81" t="s">
        <v>69</v>
      </c>
      <c r="H419" s="81" t="s">
        <v>70</v>
      </c>
      <c r="I419" s="81" t="s">
        <v>1581</v>
      </c>
      <c r="J419" s="81" t="s">
        <v>1582</v>
      </c>
      <c r="K419" s="81"/>
      <c r="L419" s="52" t="str">
        <f t="shared" si="5"/>
        <v/>
      </c>
      <c r="M419" s="81"/>
      <c r="N419" s="53"/>
      <c r="O419" s="54"/>
    </row>
    <row r="420" spans="1:15" ht="102" x14ac:dyDescent="0.25">
      <c r="A420" s="78" t="s">
        <v>1525</v>
      </c>
      <c r="B420" s="61" t="s">
        <v>1526</v>
      </c>
      <c r="C420" s="85" t="s">
        <v>1583</v>
      </c>
      <c r="D420" s="85"/>
      <c r="E420" s="81" t="s">
        <v>1584</v>
      </c>
      <c r="F420" s="81" t="s">
        <v>505</v>
      </c>
      <c r="G420" s="81" t="s">
        <v>69</v>
      </c>
      <c r="H420" s="81" t="s">
        <v>70</v>
      </c>
      <c r="I420" s="81" t="s">
        <v>1585</v>
      </c>
      <c r="J420" s="81" t="s">
        <v>1586</v>
      </c>
      <c r="K420" s="81"/>
      <c r="L420" s="52" t="str">
        <f t="shared" si="5"/>
        <v/>
      </c>
      <c r="M420" s="81"/>
      <c r="N420" s="53"/>
      <c r="O420" s="54"/>
    </row>
    <row r="421" spans="1:15" ht="25.5" x14ac:dyDescent="0.25">
      <c r="A421" s="78" t="s">
        <v>1525</v>
      </c>
      <c r="B421" s="61" t="s">
        <v>1526</v>
      </c>
      <c r="C421" s="85" t="s">
        <v>66</v>
      </c>
      <c r="D421" s="85"/>
      <c r="E421" s="81" t="s">
        <v>67</v>
      </c>
      <c r="F421" s="81" t="s">
        <v>68</v>
      </c>
      <c r="G421" s="81" t="s">
        <v>69</v>
      </c>
      <c r="H421" s="81" t="s">
        <v>70</v>
      </c>
      <c r="I421" s="81" t="s">
        <v>1587</v>
      </c>
      <c r="J421" s="81" t="s">
        <v>1588</v>
      </c>
      <c r="K421" s="81" t="s">
        <v>73</v>
      </c>
      <c r="L421" s="52" t="str">
        <f t="shared" si="5"/>
        <v/>
      </c>
      <c r="M421" s="81"/>
      <c r="N421" s="53"/>
      <c r="O421" s="54"/>
    </row>
    <row r="422" spans="1:15" ht="25.5" x14ac:dyDescent="0.25">
      <c r="A422" s="78" t="s">
        <v>1589</v>
      </c>
      <c r="B422" s="61" t="s">
        <v>1590</v>
      </c>
      <c r="C422" s="78" t="s">
        <v>1589</v>
      </c>
      <c r="D422" s="78"/>
      <c r="E422" s="79" t="s">
        <v>1591</v>
      </c>
      <c r="F422" s="79"/>
      <c r="G422" s="79"/>
      <c r="H422" s="79" t="s">
        <v>62</v>
      </c>
      <c r="I422" s="79" t="s">
        <v>1592</v>
      </c>
      <c r="J422" s="79" t="s">
        <v>1593</v>
      </c>
      <c r="K422" s="79"/>
      <c r="L422" s="52" t="str">
        <f>HYPERLINK("https://zibs.nl/wiki/Familieanamnese-v3.1(2017NL)#","")</f>
        <v/>
      </c>
      <c r="M422" s="79"/>
      <c r="N422" s="53"/>
      <c r="O422" s="54"/>
    </row>
    <row r="423" spans="1:15" ht="15" x14ac:dyDescent="0.25">
      <c r="A423" s="78" t="s">
        <v>1589</v>
      </c>
      <c r="B423" s="61" t="s">
        <v>1590</v>
      </c>
      <c r="C423" s="85" t="s">
        <v>1594</v>
      </c>
      <c r="D423" s="85"/>
      <c r="E423" s="81" t="s">
        <v>1595</v>
      </c>
      <c r="F423" s="81" t="s">
        <v>88</v>
      </c>
      <c r="G423" s="81" t="s">
        <v>69</v>
      </c>
      <c r="H423" s="81" t="s">
        <v>70</v>
      </c>
      <c r="I423" s="81" t="s">
        <v>1596</v>
      </c>
      <c r="J423" s="81" t="s">
        <v>1597</v>
      </c>
      <c r="K423" s="81"/>
      <c r="L423" s="52" t="str">
        <f>HYPERLINK("https://zibs.nl/wiki/Familieanamnese-v3.1(2017NL)#","")</f>
        <v/>
      </c>
      <c r="M423" s="81"/>
      <c r="N423" s="53"/>
      <c r="O423" s="54"/>
    </row>
    <row r="424" spans="1:15" ht="15" x14ac:dyDescent="0.25">
      <c r="A424" s="78" t="s">
        <v>1589</v>
      </c>
      <c r="B424" s="61" t="s">
        <v>1590</v>
      </c>
      <c r="C424" s="88"/>
      <c r="D424" s="88"/>
      <c r="E424" s="84" t="s">
        <v>1598</v>
      </c>
      <c r="F424" s="84"/>
      <c r="G424" s="84" t="s">
        <v>163</v>
      </c>
      <c r="H424" s="84" t="s">
        <v>83</v>
      </c>
      <c r="I424" s="84" t="s">
        <v>1599</v>
      </c>
      <c r="J424" s="84" t="s">
        <v>1600</v>
      </c>
      <c r="K424" s="84"/>
      <c r="L424" s="52" t="str">
        <f>HYPERLINK("https://zibs.nl/wiki/Familieanamnese-v3.1(2017NL)#","")</f>
        <v/>
      </c>
      <c r="M424" s="84"/>
      <c r="N424" s="53"/>
      <c r="O424" s="54"/>
    </row>
    <row r="425" spans="1:15" ht="25.5" x14ac:dyDescent="0.25">
      <c r="A425" s="78" t="s">
        <v>1589</v>
      </c>
      <c r="B425" s="61" t="s">
        <v>1590</v>
      </c>
      <c r="C425" s="85" t="s">
        <v>1601</v>
      </c>
      <c r="D425" s="85"/>
      <c r="E425" s="81" t="s">
        <v>1602</v>
      </c>
      <c r="F425" s="81" t="s">
        <v>76</v>
      </c>
      <c r="G425" s="81" t="s">
        <v>77</v>
      </c>
      <c r="H425" s="81" t="s">
        <v>70</v>
      </c>
      <c r="I425" s="81" t="s">
        <v>1603</v>
      </c>
      <c r="J425" s="81" t="s">
        <v>1604</v>
      </c>
      <c r="K425" s="81"/>
      <c r="L425" s="52" t="str">
        <f>HYPERLINK("https://zibs.nl/wiki/Familieanamnese-v3.1(2017NL)#BiologischeRelatieCodelijst","BiologischeRelatieCodelijst")</f>
        <v>BiologischeRelatieCodelijst</v>
      </c>
      <c r="M425" s="81"/>
      <c r="N425" s="53"/>
      <c r="O425" s="54"/>
    </row>
    <row r="426" spans="1:15" ht="25.5" x14ac:dyDescent="0.25">
      <c r="A426" s="78" t="s">
        <v>1589</v>
      </c>
      <c r="B426" s="61" t="s">
        <v>1590</v>
      </c>
      <c r="C426" s="85" t="s">
        <v>66</v>
      </c>
      <c r="D426" s="85"/>
      <c r="E426" s="81" t="s">
        <v>67</v>
      </c>
      <c r="F426" s="81" t="s">
        <v>68</v>
      </c>
      <c r="G426" s="81" t="s">
        <v>69</v>
      </c>
      <c r="H426" s="81" t="s">
        <v>70</v>
      </c>
      <c r="I426" s="81" t="s">
        <v>1605</v>
      </c>
      <c r="J426" s="81" t="s">
        <v>1606</v>
      </c>
      <c r="K426" s="81" t="s">
        <v>73</v>
      </c>
      <c r="L426" s="52" t="str">
        <f>HYPERLINK("https://zibs.nl/wiki/Familieanamnese-v3.1(2017NL)#","")</f>
        <v/>
      </c>
      <c r="M426" s="81"/>
      <c r="N426" s="53"/>
      <c r="O426" s="54"/>
    </row>
    <row r="427" spans="1:15" ht="25.5" x14ac:dyDescent="0.25">
      <c r="A427" s="78" t="s">
        <v>1589</v>
      </c>
      <c r="B427" s="61" t="s">
        <v>1590</v>
      </c>
      <c r="C427" s="85" t="s">
        <v>890</v>
      </c>
      <c r="D427" s="85"/>
      <c r="E427" s="81" t="s">
        <v>891</v>
      </c>
      <c r="F427" s="81" t="s">
        <v>197</v>
      </c>
      <c r="G427" s="81" t="s">
        <v>69</v>
      </c>
      <c r="H427" s="81" t="s">
        <v>70</v>
      </c>
      <c r="I427" s="81" t="s">
        <v>1607</v>
      </c>
      <c r="J427" s="81" t="s">
        <v>1608</v>
      </c>
      <c r="K427" s="81"/>
      <c r="L427" s="52" t="str">
        <f>HYPERLINK("https://zibs.nl/wiki/Familieanamnese-v3.1(2017NL)#","")</f>
        <v/>
      </c>
      <c r="M427" s="81"/>
      <c r="N427" s="53"/>
      <c r="O427" s="54"/>
    </row>
    <row r="428" spans="1:15" ht="25.5" x14ac:dyDescent="0.25">
      <c r="A428" s="78" t="s">
        <v>1589</v>
      </c>
      <c r="B428" s="61" t="s">
        <v>1590</v>
      </c>
      <c r="C428" s="85" t="s">
        <v>1609</v>
      </c>
      <c r="D428" s="85"/>
      <c r="E428" s="81" t="s">
        <v>1610</v>
      </c>
      <c r="F428" s="81" t="s">
        <v>505</v>
      </c>
      <c r="G428" s="81" t="s">
        <v>69</v>
      </c>
      <c r="H428" s="81" t="s">
        <v>70</v>
      </c>
      <c r="I428" s="81" t="s">
        <v>1611</v>
      </c>
      <c r="J428" s="81" t="s">
        <v>1612</v>
      </c>
      <c r="K428" s="81"/>
      <c r="L428" s="52" t="str">
        <f>HYPERLINK("https://zibs.nl/wiki/Familieanamnese-v3.1(2017NL)#","")</f>
        <v/>
      </c>
      <c r="M428" s="81"/>
      <c r="N428" s="53"/>
      <c r="O428" s="54"/>
    </row>
    <row r="429" spans="1:15" ht="15" x14ac:dyDescent="0.25">
      <c r="A429" s="78" t="s">
        <v>1589</v>
      </c>
      <c r="B429" s="61" t="s">
        <v>1590</v>
      </c>
      <c r="C429" s="86" t="s">
        <v>1613</v>
      </c>
      <c r="D429" s="86"/>
      <c r="E429" s="84" t="s">
        <v>1614</v>
      </c>
      <c r="F429" s="84"/>
      <c r="G429" s="84" t="s">
        <v>163</v>
      </c>
      <c r="H429" s="84" t="s">
        <v>83</v>
      </c>
      <c r="I429" s="84" t="s">
        <v>1615</v>
      </c>
      <c r="J429" s="84" t="s">
        <v>1616</v>
      </c>
      <c r="K429" s="84"/>
      <c r="L429" s="52" t="str">
        <f>HYPERLINK("https://zibs.nl/wiki/Familieanamnese-v3.1(2017NL)#","")</f>
        <v/>
      </c>
      <c r="M429" s="84"/>
      <c r="N429" s="53"/>
      <c r="O429" s="54"/>
    </row>
    <row r="430" spans="1:15" ht="25.5" x14ac:dyDescent="0.25">
      <c r="A430" s="78" t="s">
        <v>1589</v>
      </c>
      <c r="B430" s="61" t="s">
        <v>1590</v>
      </c>
      <c r="C430" s="85" t="s">
        <v>21</v>
      </c>
      <c r="D430" s="85"/>
      <c r="E430" s="81" t="s">
        <v>416</v>
      </c>
      <c r="F430" s="81"/>
      <c r="G430" s="81" t="s">
        <v>77</v>
      </c>
      <c r="H430" s="81" t="s">
        <v>110</v>
      </c>
      <c r="I430" s="81" t="s">
        <v>1617</v>
      </c>
      <c r="J430" s="81" t="s">
        <v>1618</v>
      </c>
      <c r="K430" s="81"/>
      <c r="L430" s="62" t="s">
        <v>113</v>
      </c>
      <c r="M430" s="81"/>
      <c r="N430" s="53"/>
      <c r="O430" s="54"/>
    </row>
    <row r="431" spans="1:15" ht="140.25" x14ac:dyDescent="0.25">
      <c r="A431" s="78" t="s">
        <v>1589</v>
      </c>
      <c r="B431" s="61" t="s">
        <v>1590</v>
      </c>
      <c r="C431" s="85" t="s">
        <v>1619</v>
      </c>
      <c r="D431" s="85"/>
      <c r="E431" s="81" t="s">
        <v>1620</v>
      </c>
      <c r="F431" s="81" t="s">
        <v>197</v>
      </c>
      <c r="G431" s="81" t="s">
        <v>69</v>
      </c>
      <c r="H431" s="81" t="s">
        <v>70</v>
      </c>
      <c r="I431" s="81" t="s">
        <v>1621</v>
      </c>
      <c r="J431" s="81" t="s">
        <v>1622</v>
      </c>
      <c r="K431" s="81"/>
      <c r="L431" s="52" t="str">
        <f>HYPERLINK("https://zibs.nl/wiki/Familieanamnese-v3.1(2017NL)#","")</f>
        <v/>
      </c>
      <c r="M431" s="81" t="s">
        <v>1623</v>
      </c>
      <c r="N431" s="53"/>
      <c r="O431" s="54"/>
    </row>
    <row r="432" spans="1:15" ht="25.5" x14ac:dyDescent="0.25">
      <c r="A432" s="78" t="s">
        <v>1624</v>
      </c>
      <c r="B432" s="61" t="s">
        <v>1625</v>
      </c>
      <c r="C432" s="78" t="s">
        <v>1624</v>
      </c>
      <c r="D432" s="78"/>
      <c r="E432" s="79" t="s">
        <v>1626</v>
      </c>
      <c r="F432" s="79"/>
      <c r="G432" s="79"/>
      <c r="H432" s="79" t="s">
        <v>62</v>
      </c>
      <c r="I432" s="79" t="s">
        <v>1627</v>
      </c>
      <c r="J432" s="79" t="s">
        <v>1628</v>
      </c>
      <c r="K432" s="79"/>
      <c r="L432" s="52" t="str">
        <f>HYPERLINK("https://zibs.nl/wiki/FLACCpijnScore-v1.0(2017NL)#","")</f>
        <v/>
      </c>
      <c r="M432" s="79"/>
      <c r="N432" s="53"/>
      <c r="O432" s="54"/>
    </row>
    <row r="433" spans="1:15" ht="25.5" x14ac:dyDescent="0.25">
      <c r="A433" s="78" t="s">
        <v>1624</v>
      </c>
      <c r="B433" s="61" t="s">
        <v>1625</v>
      </c>
      <c r="C433" s="85" t="s">
        <v>1335</v>
      </c>
      <c r="D433" s="85"/>
      <c r="E433" s="81" t="s">
        <v>1336</v>
      </c>
      <c r="F433" s="81" t="s">
        <v>505</v>
      </c>
      <c r="G433" s="81" t="s">
        <v>69</v>
      </c>
      <c r="H433" s="81" t="s">
        <v>70</v>
      </c>
      <c r="I433" s="81" t="s">
        <v>1629</v>
      </c>
      <c r="J433" s="81" t="s">
        <v>1400</v>
      </c>
      <c r="K433" s="81"/>
      <c r="L433" s="52" t="str">
        <f>HYPERLINK("https://zibs.nl/wiki/FLACCpijnScore-v1.0(2017NL)#","")</f>
        <v/>
      </c>
      <c r="M433" s="81" t="s">
        <v>1255</v>
      </c>
      <c r="N433" s="53"/>
      <c r="O433" s="54"/>
    </row>
    <row r="434" spans="1:15" ht="25.5" x14ac:dyDescent="0.25">
      <c r="A434" s="78" t="s">
        <v>1624</v>
      </c>
      <c r="B434" s="61" t="s">
        <v>1625</v>
      </c>
      <c r="C434" s="85" t="s">
        <v>1401</v>
      </c>
      <c r="D434" s="85"/>
      <c r="E434" s="81" t="s">
        <v>1402</v>
      </c>
      <c r="F434" s="81" t="s">
        <v>474</v>
      </c>
      <c r="G434" s="81" t="s">
        <v>69</v>
      </c>
      <c r="H434" s="81" t="s">
        <v>70</v>
      </c>
      <c r="I434" s="81" t="s">
        <v>1630</v>
      </c>
      <c r="J434" s="81" t="s">
        <v>1631</v>
      </c>
      <c r="K434" s="81"/>
      <c r="L434" s="52" t="str">
        <f>HYPERLINK("https://zibs.nl/wiki/FLACCpijnScore-v1.0(2017NL)#GezichtCodelijst","GezichtCodelijst")</f>
        <v>GezichtCodelijst</v>
      </c>
      <c r="M434" s="81"/>
      <c r="N434" s="53"/>
      <c r="O434" s="54"/>
    </row>
    <row r="435" spans="1:15" ht="25.5" x14ac:dyDescent="0.25">
      <c r="A435" s="78" t="s">
        <v>1624</v>
      </c>
      <c r="B435" s="61" t="s">
        <v>1625</v>
      </c>
      <c r="C435" s="85" t="s">
        <v>1632</v>
      </c>
      <c r="D435" s="85"/>
      <c r="E435" s="81" t="s">
        <v>1633</v>
      </c>
      <c r="F435" s="81" t="s">
        <v>474</v>
      </c>
      <c r="G435" s="81" t="s">
        <v>69</v>
      </c>
      <c r="H435" s="81" t="s">
        <v>70</v>
      </c>
      <c r="I435" s="81" t="s">
        <v>1634</v>
      </c>
      <c r="J435" s="81" t="s">
        <v>1635</v>
      </c>
      <c r="K435" s="81"/>
      <c r="L435" s="52" t="str">
        <f>HYPERLINK("https://zibs.nl/wiki/FLACCpijnScore-v1.0(2017NL)#BenenCodelijst","BenenCodelijst")</f>
        <v>BenenCodelijst</v>
      </c>
      <c r="M435" s="81"/>
      <c r="N435" s="53"/>
      <c r="O435" s="54"/>
    </row>
    <row r="436" spans="1:15" ht="25.5" x14ac:dyDescent="0.25">
      <c r="A436" s="78" t="s">
        <v>1624</v>
      </c>
      <c r="B436" s="61" t="s">
        <v>1625</v>
      </c>
      <c r="C436" s="85" t="s">
        <v>1636</v>
      </c>
      <c r="D436" s="85"/>
      <c r="E436" s="81" t="s">
        <v>1637</v>
      </c>
      <c r="F436" s="81" t="s">
        <v>474</v>
      </c>
      <c r="G436" s="81" t="s">
        <v>69</v>
      </c>
      <c r="H436" s="81" t="s">
        <v>70</v>
      </c>
      <c r="I436" s="81" t="s">
        <v>1638</v>
      </c>
      <c r="J436" s="81" t="s">
        <v>1639</v>
      </c>
      <c r="K436" s="81"/>
      <c r="L436" s="52" t="str">
        <f>HYPERLINK("https://zibs.nl/wiki/FLACCpijnScore-v1.0(2017NL)#ActiviteitCodelijst","ActiviteitCodelijst")</f>
        <v>ActiviteitCodelijst</v>
      </c>
      <c r="M436" s="81"/>
      <c r="N436" s="53"/>
      <c r="O436" s="54"/>
    </row>
    <row r="437" spans="1:15" ht="25.5" x14ac:dyDescent="0.25">
      <c r="A437" s="78" t="s">
        <v>1624</v>
      </c>
      <c r="B437" s="61" t="s">
        <v>1625</v>
      </c>
      <c r="C437" s="85" t="s">
        <v>1429</v>
      </c>
      <c r="D437" s="85"/>
      <c r="E437" s="81" t="s">
        <v>1430</v>
      </c>
      <c r="F437" s="81" t="s">
        <v>474</v>
      </c>
      <c r="G437" s="81" t="s">
        <v>69</v>
      </c>
      <c r="H437" s="81" t="s">
        <v>70</v>
      </c>
      <c r="I437" s="81" t="s">
        <v>1640</v>
      </c>
      <c r="J437" s="81" t="s">
        <v>1641</v>
      </c>
      <c r="K437" s="81"/>
      <c r="L437" s="52" t="str">
        <f>HYPERLINK("https://zibs.nl/wiki/FLACCpijnScore-v1.0(2017NL)#HuilenCodelijst","HuilenCodelijst")</f>
        <v>HuilenCodelijst</v>
      </c>
      <c r="M437" s="81"/>
      <c r="N437" s="53"/>
      <c r="O437" s="54"/>
    </row>
    <row r="438" spans="1:15" ht="25.5" x14ac:dyDescent="0.25">
      <c r="A438" s="78" t="s">
        <v>1624</v>
      </c>
      <c r="B438" s="61" t="s">
        <v>1625</v>
      </c>
      <c r="C438" s="85" t="s">
        <v>1642</v>
      </c>
      <c r="D438" s="85"/>
      <c r="E438" s="81" t="s">
        <v>1643</v>
      </c>
      <c r="F438" s="81" t="s">
        <v>474</v>
      </c>
      <c r="G438" s="81" t="s">
        <v>69</v>
      </c>
      <c r="H438" s="81" t="s">
        <v>70</v>
      </c>
      <c r="I438" s="81" t="s">
        <v>1644</v>
      </c>
      <c r="J438" s="81" t="s">
        <v>1645</v>
      </c>
      <c r="K438" s="81"/>
      <c r="L438" s="52" t="str">
        <f>HYPERLINK("https://zibs.nl/wiki/FLACCpijnScore-v1.0(2017NL)#TroostbaarCodelijst","TroostbaarCodelijst")</f>
        <v>TroostbaarCodelijst</v>
      </c>
      <c r="M438" s="81"/>
      <c r="N438" s="53"/>
      <c r="O438" s="54"/>
    </row>
    <row r="439" spans="1:15" ht="38.25" x14ac:dyDescent="0.25">
      <c r="A439" s="78" t="s">
        <v>1624</v>
      </c>
      <c r="B439" s="61" t="s">
        <v>1625</v>
      </c>
      <c r="C439" s="85" t="s">
        <v>1441</v>
      </c>
      <c r="D439" s="85"/>
      <c r="E439" s="81" t="s">
        <v>1442</v>
      </c>
      <c r="F439" s="81" t="s">
        <v>88</v>
      </c>
      <c r="G439" s="81" t="s">
        <v>77</v>
      </c>
      <c r="H439" s="81" t="s">
        <v>70</v>
      </c>
      <c r="I439" s="81" t="s">
        <v>1646</v>
      </c>
      <c r="J439" s="81" t="s">
        <v>1647</v>
      </c>
      <c r="K439" s="81"/>
      <c r="L439" s="52" t="str">
        <f>HYPERLINK("https://zibs.nl/wiki/FLACCpijnScore-v1.0(2017NL)#","")</f>
        <v/>
      </c>
      <c r="M439" s="81"/>
      <c r="N439" s="53"/>
      <c r="O439" s="54"/>
    </row>
    <row r="440" spans="1:15" ht="38.25" x14ac:dyDescent="0.25">
      <c r="A440" s="78" t="s">
        <v>1624</v>
      </c>
      <c r="B440" s="61" t="s">
        <v>1625</v>
      </c>
      <c r="C440" s="85" t="s">
        <v>66</v>
      </c>
      <c r="D440" s="85"/>
      <c r="E440" s="81" t="s">
        <v>67</v>
      </c>
      <c r="F440" s="81" t="s">
        <v>68</v>
      </c>
      <c r="G440" s="81" t="s">
        <v>69</v>
      </c>
      <c r="H440" s="81" t="s">
        <v>70</v>
      </c>
      <c r="I440" s="81" t="s">
        <v>1648</v>
      </c>
      <c r="J440" s="81" t="s">
        <v>1446</v>
      </c>
      <c r="K440" s="81" t="s">
        <v>73</v>
      </c>
      <c r="L440" s="52" t="str">
        <f>HYPERLINK("https://zibs.nl/wiki/FLACCpijnScore-v1.0(2017NL)#","")</f>
        <v/>
      </c>
      <c r="M440" s="81"/>
      <c r="N440" s="53"/>
      <c r="O440" s="54"/>
    </row>
    <row r="441" spans="1:15" ht="15" x14ac:dyDescent="0.25">
      <c r="A441" s="78" t="s">
        <v>1649</v>
      </c>
      <c r="B441" s="61" t="s">
        <v>1650</v>
      </c>
      <c r="C441" s="78" t="s">
        <v>1649</v>
      </c>
      <c r="D441" s="78"/>
      <c r="E441" s="79" t="s">
        <v>1651</v>
      </c>
      <c r="F441" s="79"/>
      <c r="G441" s="79"/>
      <c r="H441" s="79" t="s">
        <v>62</v>
      </c>
      <c r="I441" s="79" t="s">
        <v>1652</v>
      </c>
      <c r="J441" s="79" t="s">
        <v>1653</v>
      </c>
      <c r="K441" s="79"/>
      <c r="L441" s="52" t="str">
        <f>HYPERLINK("https://zibs.nl/wiki/FunctieHoren-v3.1(2017NL)#","")</f>
        <v/>
      </c>
      <c r="M441" s="79"/>
      <c r="N441" s="53"/>
      <c r="O441" s="54"/>
    </row>
    <row r="442" spans="1:15" ht="25.5" x14ac:dyDescent="0.25">
      <c r="A442" s="78" t="s">
        <v>1649</v>
      </c>
      <c r="B442" s="61" t="s">
        <v>1650</v>
      </c>
      <c r="C442" s="85" t="s">
        <v>1654</v>
      </c>
      <c r="D442" s="85"/>
      <c r="E442" s="81" t="s">
        <v>1651</v>
      </c>
      <c r="F442" s="81" t="s">
        <v>76</v>
      </c>
      <c r="G442" s="81" t="s">
        <v>77</v>
      </c>
      <c r="H442" s="81" t="s">
        <v>70</v>
      </c>
      <c r="I442" s="81" t="s">
        <v>1655</v>
      </c>
      <c r="J442" s="81" t="s">
        <v>1656</v>
      </c>
      <c r="K442" s="81" t="s">
        <v>1657</v>
      </c>
      <c r="L442" s="52" t="str">
        <f>HYPERLINK("https://zibs.nl/wiki/FunctieHoren-v3.1(2017NL)#HoorFunctieCodelijst","HoorFunctieCodelijst")</f>
        <v>HoorFunctieCodelijst</v>
      </c>
      <c r="M442" s="81"/>
      <c r="N442" s="53"/>
      <c r="O442" s="54"/>
    </row>
    <row r="443" spans="1:15" ht="38.25" x14ac:dyDescent="0.25">
      <c r="A443" s="78" t="s">
        <v>1649</v>
      </c>
      <c r="B443" s="61" t="s">
        <v>1650</v>
      </c>
      <c r="C443" s="85" t="s">
        <v>1658</v>
      </c>
      <c r="D443" s="85"/>
      <c r="E443" s="81" t="s">
        <v>1659</v>
      </c>
      <c r="F443" s="81"/>
      <c r="G443" s="81" t="s">
        <v>158</v>
      </c>
      <c r="H443" s="81" t="s">
        <v>110</v>
      </c>
      <c r="I443" s="81" t="s">
        <v>1660</v>
      </c>
      <c r="J443" s="81" t="s">
        <v>1661</v>
      </c>
      <c r="K443" s="81" t="s">
        <v>1662</v>
      </c>
      <c r="L443" s="62" t="s">
        <v>488</v>
      </c>
      <c r="M443" s="81"/>
      <c r="N443" s="53"/>
      <c r="O443" s="54"/>
    </row>
    <row r="444" spans="1:15" ht="25.5" x14ac:dyDescent="0.25">
      <c r="A444" s="78" t="s">
        <v>1649</v>
      </c>
      <c r="B444" s="61" t="s">
        <v>1650</v>
      </c>
      <c r="C444" s="85" t="s">
        <v>789</v>
      </c>
      <c r="D444" s="85"/>
      <c r="E444" s="81" t="s">
        <v>790</v>
      </c>
      <c r="F444" s="81" t="s">
        <v>76</v>
      </c>
      <c r="G444" s="81"/>
      <c r="H444" s="81" t="s">
        <v>70</v>
      </c>
      <c r="I444" s="81" t="s">
        <v>791</v>
      </c>
      <c r="J444" s="81" t="s">
        <v>1663</v>
      </c>
      <c r="K444" s="81"/>
      <c r="L444" s="52" t="str">
        <f>HYPERLINK("https://zibs.nl/wiki/FunctieHoren-v3.1(2017NL)#HorenHulpmiddelTypeCodelijst","HorenHulpmiddelTypeCodelijst")</f>
        <v>HorenHulpmiddelTypeCodelijst</v>
      </c>
      <c r="M444" s="81"/>
      <c r="N444" s="53"/>
      <c r="O444" s="54"/>
    </row>
    <row r="445" spans="1:15" ht="38.25" x14ac:dyDescent="0.25">
      <c r="A445" s="78" t="s">
        <v>1649</v>
      </c>
      <c r="B445" s="61" t="s">
        <v>1650</v>
      </c>
      <c r="C445" s="85" t="s">
        <v>1664</v>
      </c>
      <c r="D445" s="85"/>
      <c r="E445" s="81" t="s">
        <v>1665</v>
      </c>
      <c r="F445" s="81" t="s">
        <v>76</v>
      </c>
      <c r="G445" s="81"/>
      <c r="H445" s="81" t="s">
        <v>70</v>
      </c>
      <c r="I445" s="81" t="s">
        <v>805</v>
      </c>
      <c r="J445" s="81" t="s">
        <v>1666</v>
      </c>
      <c r="K445" s="81" t="s">
        <v>1382</v>
      </c>
      <c r="L445" s="52" t="str">
        <f>HYPERLINK("https://zibs.nl/wiki/FunctieHoren-v3.1(2017NL)#LocatieGehoorapparaatCodelijst","LocatieGehoorapparaatCodelijst")</f>
        <v>LocatieGehoorapparaatCodelijst</v>
      </c>
      <c r="M445" s="81"/>
      <c r="N445" s="53"/>
      <c r="O445" s="54"/>
    </row>
    <row r="446" spans="1:15" ht="25.5" x14ac:dyDescent="0.25">
      <c r="A446" s="78" t="s">
        <v>1649</v>
      </c>
      <c r="B446" s="61" t="s">
        <v>1650</v>
      </c>
      <c r="C446" s="85" t="s">
        <v>66</v>
      </c>
      <c r="D446" s="85"/>
      <c r="E446" s="81" t="s">
        <v>67</v>
      </c>
      <c r="F446" s="81" t="s">
        <v>68</v>
      </c>
      <c r="G446" s="81" t="s">
        <v>69</v>
      </c>
      <c r="H446" s="81" t="s">
        <v>70</v>
      </c>
      <c r="I446" s="81" t="s">
        <v>1667</v>
      </c>
      <c r="J446" s="81" t="s">
        <v>1668</v>
      </c>
      <c r="K446" s="81" t="s">
        <v>73</v>
      </c>
      <c r="L446" s="52" t="str">
        <f>HYPERLINK("https://zibs.nl/wiki/FunctieHoren-v3.1(2017NL)#","")</f>
        <v/>
      </c>
      <c r="M446" s="81"/>
      <c r="N446" s="53"/>
      <c r="O446" s="54"/>
    </row>
    <row r="447" spans="1:15" ht="15" x14ac:dyDescent="0.25">
      <c r="A447" s="78" t="s">
        <v>1669</v>
      </c>
      <c r="B447" t="s">
        <v>1670</v>
      </c>
      <c r="C447" s="78" t="s">
        <v>1669</v>
      </c>
      <c r="D447" s="78"/>
      <c r="E447" s="79" t="s">
        <v>1671</v>
      </c>
      <c r="F447" s="79"/>
      <c r="G447" s="79"/>
      <c r="H447" s="79" t="s">
        <v>62</v>
      </c>
      <c r="I447" s="79" t="s">
        <v>1672</v>
      </c>
      <c r="J447" s="79" t="s">
        <v>1673</v>
      </c>
      <c r="K447" s="79"/>
      <c r="L447" s="52" t="str">
        <f>HYPERLINK("https://zibs.nl/wiki/FunctieZien-v3.1(2017NL)#","")</f>
        <v/>
      </c>
      <c r="M447" s="79"/>
      <c r="N447" s="53"/>
      <c r="O447" s="54"/>
    </row>
    <row r="448" spans="1:15" ht="25.5" x14ac:dyDescent="0.25">
      <c r="A448" s="78" t="s">
        <v>1669</v>
      </c>
      <c r="B448" t="s">
        <v>1670</v>
      </c>
      <c r="C448" s="85" t="s">
        <v>1674</v>
      </c>
      <c r="D448" s="85"/>
      <c r="E448" s="81" t="s">
        <v>1671</v>
      </c>
      <c r="F448" s="81" t="s">
        <v>76</v>
      </c>
      <c r="G448" s="81" t="s">
        <v>77</v>
      </c>
      <c r="H448" s="81" t="s">
        <v>70</v>
      </c>
      <c r="I448" s="81" t="s">
        <v>1675</v>
      </c>
      <c r="J448" s="81" t="s">
        <v>1676</v>
      </c>
      <c r="K448" s="81" t="s">
        <v>1677</v>
      </c>
      <c r="L448" s="52" t="str">
        <f>HYPERLINK("https://zibs.nl/wiki/FunctieZien-v3.1(2017NL)#VisueleFunctieCodelijst","VisueleFunctieCodelijst")</f>
        <v>VisueleFunctieCodelijst</v>
      </c>
      <c r="M448" s="81"/>
      <c r="N448" s="53"/>
      <c r="O448" s="54"/>
    </row>
    <row r="449" spans="1:15" ht="38.25" x14ac:dyDescent="0.25">
      <c r="A449" s="78" t="s">
        <v>1669</v>
      </c>
      <c r="B449" t="s">
        <v>1670</v>
      </c>
      <c r="C449" s="85" t="s">
        <v>1678</v>
      </c>
      <c r="D449" s="85"/>
      <c r="E449" s="81" t="s">
        <v>1679</v>
      </c>
      <c r="F449" s="81"/>
      <c r="G449" s="81" t="s">
        <v>158</v>
      </c>
      <c r="H449" s="81" t="s">
        <v>110</v>
      </c>
      <c r="I449" s="81" t="s">
        <v>1680</v>
      </c>
      <c r="J449" s="81" t="s">
        <v>1681</v>
      </c>
      <c r="K449" s="81" t="s">
        <v>1682</v>
      </c>
      <c r="L449" s="62" t="s">
        <v>488</v>
      </c>
      <c r="M449" s="81"/>
      <c r="N449" s="53"/>
      <c r="O449" s="54"/>
    </row>
    <row r="450" spans="1:15" ht="25.5" x14ac:dyDescent="0.25">
      <c r="A450" s="78" t="s">
        <v>1669</v>
      </c>
      <c r="B450" t="s">
        <v>1670</v>
      </c>
      <c r="C450" s="85" t="s">
        <v>789</v>
      </c>
      <c r="D450" s="85"/>
      <c r="E450" s="81" t="s">
        <v>790</v>
      </c>
      <c r="F450" s="81" t="s">
        <v>76</v>
      </c>
      <c r="G450" s="81"/>
      <c r="H450" s="81" t="s">
        <v>70</v>
      </c>
      <c r="I450" s="81" t="s">
        <v>791</v>
      </c>
      <c r="J450" s="81" t="s">
        <v>1683</v>
      </c>
      <c r="K450" s="81"/>
      <c r="L450" s="52" t="str">
        <f>HYPERLINK("https://zibs.nl/wiki/FunctieZien-v3.1(2017NL)#ZienHulpmiddelTypeCodelijst","ZienHulpmiddelTypeCodelijst")</f>
        <v>ZienHulpmiddelTypeCodelijst</v>
      </c>
      <c r="M450" s="81"/>
      <c r="N450" s="53"/>
      <c r="O450" s="54"/>
    </row>
    <row r="451" spans="1:15" ht="25.5" x14ac:dyDescent="0.25">
      <c r="A451" s="78" t="s">
        <v>1669</v>
      </c>
      <c r="B451" t="s">
        <v>1670</v>
      </c>
      <c r="C451" s="85" t="s">
        <v>66</v>
      </c>
      <c r="D451" s="85"/>
      <c r="E451" s="81" t="s">
        <v>67</v>
      </c>
      <c r="F451" s="81" t="s">
        <v>68</v>
      </c>
      <c r="G451" s="81" t="s">
        <v>69</v>
      </c>
      <c r="H451" s="81" t="s">
        <v>70</v>
      </c>
      <c r="I451" s="81" t="s">
        <v>1684</v>
      </c>
      <c r="J451" s="81" t="s">
        <v>1685</v>
      </c>
      <c r="K451" s="81" t="s">
        <v>73</v>
      </c>
      <c r="L451" s="52" t="str">
        <f>HYPERLINK("https://zibs.nl/wiki/FunctieZien-v3.1(2017NL)#","")</f>
        <v/>
      </c>
      <c r="M451" s="81"/>
      <c r="N451" s="53"/>
      <c r="O451" s="54"/>
    </row>
    <row r="452" spans="1:15" ht="25.5" x14ac:dyDescent="0.25">
      <c r="A452" s="78" t="s">
        <v>1686</v>
      </c>
      <c r="B452" t="s">
        <v>1687</v>
      </c>
      <c r="C452" s="78" t="s">
        <v>1686</v>
      </c>
      <c r="D452" s="78"/>
      <c r="E452" s="79" t="s">
        <v>1688</v>
      </c>
      <c r="F452" s="79"/>
      <c r="G452" s="79"/>
      <c r="H452" s="79" t="s">
        <v>62</v>
      </c>
      <c r="I452" s="79" t="s">
        <v>1689</v>
      </c>
      <c r="J452" s="79" t="s">
        <v>1690</v>
      </c>
      <c r="K452" s="79"/>
      <c r="L452" s="52" t="str">
        <f>HYPERLINK("https://zibs.nl/wiki/GezinssituatieKind-v1.1(2017NL)#","")</f>
        <v/>
      </c>
      <c r="M452" s="79"/>
      <c r="N452" s="53"/>
      <c r="O452" s="54"/>
    </row>
    <row r="453" spans="1:15" ht="38.25" x14ac:dyDescent="0.25">
      <c r="A453" s="78" t="s">
        <v>1686</v>
      </c>
      <c r="B453" t="s">
        <v>1687</v>
      </c>
      <c r="C453" s="85" t="s">
        <v>1691</v>
      </c>
      <c r="D453" s="85"/>
      <c r="E453" s="81" t="s">
        <v>1692</v>
      </c>
      <c r="F453" s="81" t="s">
        <v>76</v>
      </c>
      <c r="G453" s="81" t="s">
        <v>69</v>
      </c>
      <c r="H453" s="81" t="s">
        <v>70</v>
      </c>
      <c r="I453" s="81" t="s">
        <v>1693</v>
      </c>
      <c r="J453" s="81" t="s">
        <v>1694</v>
      </c>
      <c r="K453" s="81" t="s">
        <v>1695</v>
      </c>
      <c r="L453" s="52" t="str">
        <f>HYPERLINK("https://zibs.nl/wiki/GezinssituatieKind-v1.1(2017NL)#GezinssamenstellingKindCodelijst","GezinssamenstellingKindCodelijst")</f>
        <v>GezinssamenstellingKindCodelijst</v>
      </c>
      <c r="M453" s="81"/>
      <c r="N453" s="53"/>
      <c r="O453" s="54"/>
    </row>
    <row r="454" spans="1:15" ht="38.25" x14ac:dyDescent="0.25">
      <c r="A454" s="78" t="s">
        <v>1686</v>
      </c>
      <c r="B454" t="s">
        <v>1687</v>
      </c>
      <c r="C454" s="85" t="s">
        <v>1696</v>
      </c>
      <c r="D454" s="85"/>
      <c r="E454" s="81" t="s">
        <v>1697</v>
      </c>
      <c r="F454" s="81"/>
      <c r="G454" s="81" t="s">
        <v>158</v>
      </c>
      <c r="H454" s="81" t="s">
        <v>110</v>
      </c>
      <c r="I454" s="81" t="s">
        <v>1698</v>
      </c>
      <c r="J454" s="81" t="s">
        <v>1699</v>
      </c>
      <c r="K454" s="81"/>
      <c r="L454" s="62" t="s">
        <v>1109</v>
      </c>
      <c r="M454" s="81"/>
      <c r="N454" s="53"/>
      <c r="O454" s="54"/>
    </row>
    <row r="455" spans="1:15" ht="25.5" x14ac:dyDescent="0.25">
      <c r="A455" s="78" t="s">
        <v>1686</v>
      </c>
      <c r="B455" t="s">
        <v>1687</v>
      </c>
      <c r="C455" s="86" t="s">
        <v>1700</v>
      </c>
      <c r="D455" s="86"/>
      <c r="E455" s="84" t="s">
        <v>1701</v>
      </c>
      <c r="F455" s="84"/>
      <c r="G455" s="84" t="s">
        <v>158</v>
      </c>
      <c r="H455" s="84" t="s">
        <v>83</v>
      </c>
      <c r="I455" s="84" t="s">
        <v>1702</v>
      </c>
      <c r="J455" s="84" t="s">
        <v>1703</v>
      </c>
      <c r="K455" s="84" t="s">
        <v>1704</v>
      </c>
      <c r="L455" s="52" t="str">
        <f>HYPERLINK("https://zibs.nl/wiki/GezinssituatieKind-v1.1(2017NL)#","")</f>
        <v/>
      </c>
      <c r="M455" s="84"/>
      <c r="N455" s="53"/>
      <c r="O455" s="54"/>
    </row>
    <row r="456" spans="1:15" ht="25.5" x14ac:dyDescent="0.25">
      <c r="A456" s="78" t="s">
        <v>1686</v>
      </c>
      <c r="B456" t="s">
        <v>1687</v>
      </c>
      <c r="C456" s="85" t="s">
        <v>1705</v>
      </c>
      <c r="D456" s="85"/>
      <c r="E456" s="81" t="s">
        <v>1706</v>
      </c>
      <c r="F456" s="81"/>
      <c r="G456" s="81" t="s">
        <v>69</v>
      </c>
      <c r="H456" s="81" t="s">
        <v>110</v>
      </c>
      <c r="I456" s="81" t="s">
        <v>1707</v>
      </c>
      <c r="J456" s="81" t="s">
        <v>1708</v>
      </c>
      <c r="K456" s="81"/>
      <c r="L456" s="62" t="s">
        <v>1109</v>
      </c>
      <c r="M456" s="81"/>
      <c r="N456" s="53"/>
      <c r="O456" s="54"/>
    </row>
    <row r="457" spans="1:15" ht="25.5" x14ac:dyDescent="0.25">
      <c r="A457" s="78" t="s">
        <v>1686</v>
      </c>
      <c r="B457" t="s">
        <v>1687</v>
      </c>
      <c r="C457" s="85" t="s">
        <v>1709</v>
      </c>
      <c r="D457" s="85"/>
      <c r="E457" s="81" t="s">
        <v>877</v>
      </c>
      <c r="F457" s="81" t="s">
        <v>88</v>
      </c>
      <c r="G457" s="81" t="s">
        <v>69</v>
      </c>
      <c r="H457" s="81" t="s">
        <v>70</v>
      </c>
      <c r="I457" s="81" t="s">
        <v>1710</v>
      </c>
      <c r="J457" s="81" t="s">
        <v>1711</v>
      </c>
      <c r="K457" s="81" t="s">
        <v>880</v>
      </c>
      <c r="L457" s="52" t="str">
        <f>HYPERLINK("https://zibs.nl/wiki/GezinssituatieKind-v1.1(2017NL)#","")</f>
        <v/>
      </c>
      <c r="M457" s="81"/>
      <c r="N457" s="53"/>
      <c r="O457" s="54"/>
    </row>
    <row r="458" spans="1:15" ht="25.5" x14ac:dyDescent="0.25">
      <c r="A458" s="78" t="s">
        <v>1686</v>
      </c>
      <c r="B458" t="s">
        <v>1687</v>
      </c>
      <c r="C458" s="85" t="s">
        <v>1712</v>
      </c>
      <c r="D458" s="85"/>
      <c r="E458" s="81" t="s">
        <v>1713</v>
      </c>
      <c r="F458" s="81" t="s">
        <v>505</v>
      </c>
      <c r="G458" s="81" t="s">
        <v>69</v>
      </c>
      <c r="H458" s="81" t="s">
        <v>70</v>
      </c>
      <c r="I458" s="81" t="s">
        <v>1714</v>
      </c>
      <c r="J458" s="81" t="s">
        <v>1715</v>
      </c>
      <c r="K458" s="81"/>
      <c r="L458" s="52" t="str">
        <f>HYPERLINK("https://zibs.nl/wiki/GezinssituatieKind-v1.1(2017NL)#","")</f>
        <v/>
      </c>
      <c r="M458" s="81"/>
      <c r="N458" s="53"/>
      <c r="O458" s="54"/>
    </row>
    <row r="459" spans="1:15" ht="15" x14ac:dyDescent="0.25">
      <c r="A459" s="78" t="s">
        <v>1686</v>
      </c>
      <c r="B459" t="s">
        <v>1687</v>
      </c>
      <c r="C459" s="86" t="s">
        <v>1716</v>
      </c>
      <c r="D459" s="86"/>
      <c r="E459" s="84" t="s">
        <v>1717</v>
      </c>
      <c r="F459" s="84"/>
      <c r="G459" s="84" t="s">
        <v>158</v>
      </c>
      <c r="H459" s="84" t="s">
        <v>83</v>
      </c>
      <c r="I459" s="84" t="s">
        <v>1718</v>
      </c>
      <c r="J459" s="84" t="s">
        <v>1719</v>
      </c>
      <c r="K459" s="84"/>
      <c r="L459" s="52" t="str">
        <f>HYPERLINK("https://zibs.nl/wiki/GezinssituatieKind-v1.1(2017NL)#","")</f>
        <v/>
      </c>
      <c r="M459" s="84"/>
      <c r="N459" s="53"/>
      <c r="O459" s="54"/>
    </row>
    <row r="460" spans="1:15" ht="25.5" x14ac:dyDescent="0.25">
      <c r="A460" s="78" t="s">
        <v>1686</v>
      </c>
      <c r="B460" t="s">
        <v>1687</v>
      </c>
      <c r="C460" s="85" t="s">
        <v>1720</v>
      </c>
      <c r="D460" s="85"/>
      <c r="E460" s="81" t="s">
        <v>1706</v>
      </c>
      <c r="F460" s="81"/>
      <c r="G460" s="81" t="s">
        <v>69</v>
      </c>
      <c r="H460" s="81" t="s">
        <v>110</v>
      </c>
      <c r="I460" s="81" t="s">
        <v>1721</v>
      </c>
      <c r="J460" s="81" t="s">
        <v>1722</v>
      </c>
      <c r="K460" s="81" t="s">
        <v>1723</v>
      </c>
      <c r="L460" s="62" t="s">
        <v>1109</v>
      </c>
      <c r="M460" s="81"/>
      <c r="N460" s="53"/>
      <c r="O460" s="54"/>
    </row>
    <row r="461" spans="1:15" ht="25.5" x14ac:dyDescent="0.25">
      <c r="A461" s="78" t="s">
        <v>1686</v>
      </c>
      <c r="B461" t="s">
        <v>1687</v>
      </c>
      <c r="C461" s="85" t="s">
        <v>1724</v>
      </c>
      <c r="D461" s="85"/>
      <c r="E461" s="81" t="s">
        <v>1725</v>
      </c>
      <c r="F461" s="81" t="s">
        <v>88</v>
      </c>
      <c r="G461" s="81" t="s">
        <v>69</v>
      </c>
      <c r="H461" s="81" t="s">
        <v>70</v>
      </c>
      <c r="I461" s="81" t="s">
        <v>1726</v>
      </c>
      <c r="J461" s="81" t="s">
        <v>1727</v>
      </c>
      <c r="K461" s="81" t="s">
        <v>880</v>
      </c>
      <c r="L461" s="52" t="str">
        <f>HYPERLINK("https://zibs.nl/wiki/GezinssituatieKind-v1.1(2017NL)#","")</f>
        <v/>
      </c>
      <c r="M461" s="81"/>
      <c r="N461" s="53"/>
      <c r="O461" s="54"/>
    </row>
    <row r="462" spans="1:15" ht="25.5" x14ac:dyDescent="0.25">
      <c r="A462" s="78" t="s">
        <v>1686</v>
      </c>
      <c r="B462" t="s">
        <v>1687</v>
      </c>
      <c r="C462" s="85" t="s">
        <v>66</v>
      </c>
      <c r="D462" s="85"/>
      <c r="E462" s="81" t="s">
        <v>67</v>
      </c>
      <c r="F462" s="81" t="s">
        <v>68</v>
      </c>
      <c r="G462" s="81" t="s">
        <v>69</v>
      </c>
      <c r="H462" s="81" t="s">
        <v>70</v>
      </c>
      <c r="I462" s="81" t="s">
        <v>1728</v>
      </c>
      <c r="J462" s="81" t="s">
        <v>1729</v>
      </c>
      <c r="K462" s="81" t="s">
        <v>73</v>
      </c>
      <c r="L462" s="52" t="str">
        <f>HYPERLINK("https://zibs.nl/wiki/GezinssituatieKind-v1.1(2017NL)#","")</f>
        <v/>
      </c>
      <c r="M462" s="81"/>
      <c r="N462" s="53"/>
      <c r="O462" s="54"/>
    </row>
    <row r="463" spans="1:15" ht="15" x14ac:dyDescent="0.25">
      <c r="A463" s="78" t="s">
        <v>1730</v>
      </c>
      <c r="B463" t="s">
        <v>1731</v>
      </c>
      <c r="C463" s="78" t="s">
        <v>1730</v>
      </c>
      <c r="D463" s="78"/>
      <c r="E463" s="79" t="s">
        <v>1732</v>
      </c>
      <c r="F463" s="79"/>
      <c r="G463" s="79"/>
      <c r="H463" s="79" t="s">
        <v>62</v>
      </c>
      <c r="I463" s="79" t="s">
        <v>1733</v>
      </c>
      <c r="J463" s="79" t="s">
        <v>1734</v>
      </c>
      <c r="K463" s="79"/>
      <c r="L463" s="52" t="str">
        <f>HYPERLINK("https://zibs.nl/wiki/Gezinssituatie-v3.0(2017NL)#","")</f>
        <v/>
      </c>
      <c r="M463" s="79"/>
      <c r="N463" s="53"/>
      <c r="O463" s="54"/>
    </row>
    <row r="464" spans="1:15" ht="25.5" x14ac:dyDescent="0.25">
      <c r="A464" s="78" t="s">
        <v>1730</v>
      </c>
      <c r="B464" t="s">
        <v>1731</v>
      </c>
      <c r="C464" s="85" t="s">
        <v>360</v>
      </c>
      <c r="D464" s="85"/>
      <c r="E464" s="81" t="s">
        <v>361</v>
      </c>
      <c r="F464" s="81"/>
      <c r="G464" s="81" t="s">
        <v>69</v>
      </c>
      <c r="H464" s="81" t="s">
        <v>110</v>
      </c>
      <c r="I464" s="81" t="s">
        <v>1735</v>
      </c>
      <c r="J464" s="81" t="s">
        <v>1736</v>
      </c>
      <c r="K464" s="81"/>
      <c r="L464" s="62" t="s">
        <v>1737</v>
      </c>
      <c r="M464" s="81"/>
      <c r="N464" s="53"/>
      <c r="O464" s="54"/>
    </row>
    <row r="465" spans="1:15" ht="25.5" x14ac:dyDescent="0.25">
      <c r="A465" s="78" t="s">
        <v>1730</v>
      </c>
      <c r="B465" t="s">
        <v>1731</v>
      </c>
      <c r="C465" s="85" t="s">
        <v>1738</v>
      </c>
      <c r="D465" s="85"/>
      <c r="E465" s="81" t="s">
        <v>1692</v>
      </c>
      <c r="F465" s="81" t="s">
        <v>76</v>
      </c>
      <c r="G465" s="81" t="s">
        <v>69</v>
      </c>
      <c r="H465" s="81" t="s">
        <v>70</v>
      </c>
      <c r="I465" s="81" t="s">
        <v>1739</v>
      </c>
      <c r="J465" s="81" t="s">
        <v>1740</v>
      </c>
      <c r="K465" s="81"/>
      <c r="L465" s="52" t="str">
        <f>HYPERLINK("https://zibs.nl/wiki/Gezinssituatie-v3.0(2017NL)#GezinssamenstellingCodelijst","GezinssamenstellingCodelijst")</f>
        <v>GezinssamenstellingCodelijst</v>
      </c>
      <c r="M465" s="81"/>
      <c r="N465" s="53"/>
      <c r="O465" s="54"/>
    </row>
    <row r="466" spans="1:15" ht="38.25" x14ac:dyDescent="0.25">
      <c r="A466" s="78" t="s">
        <v>1730</v>
      </c>
      <c r="B466" t="s">
        <v>1731</v>
      </c>
      <c r="C466" s="85" t="s">
        <v>1741</v>
      </c>
      <c r="D466" s="85"/>
      <c r="E466" s="81" t="s">
        <v>1742</v>
      </c>
      <c r="F466" s="81" t="s">
        <v>505</v>
      </c>
      <c r="G466" s="81" t="s">
        <v>69</v>
      </c>
      <c r="H466" s="81" t="s">
        <v>70</v>
      </c>
      <c r="I466" s="81" t="s">
        <v>1743</v>
      </c>
      <c r="J466" s="81" t="s">
        <v>1744</v>
      </c>
      <c r="K466" s="81" t="s">
        <v>1745</v>
      </c>
      <c r="L466" s="52" t="str">
        <f t="shared" ref="L466:L472" si="6">HYPERLINK("https://zibs.nl/wiki/Gezinssituatie-v3.0(2017NL)#","")</f>
        <v/>
      </c>
      <c r="M466" s="81"/>
      <c r="N466" s="53"/>
      <c r="O466" s="54"/>
    </row>
    <row r="467" spans="1:15" ht="38.25" x14ac:dyDescent="0.25">
      <c r="A467" s="78" t="s">
        <v>1730</v>
      </c>
      <c r="B467" t="s">
        <v>1731</v>
      </c>
      <c r="C467" s="85" t="s">
        <v>1746</v>
      </c>
      <c r="D467" s="85"/>
      <c r="E467" s="81" t="s">
        <v>1747</v>
      </c>
      <c r="F467" s="81" t="s">
        <v>505</v>
      </c>
      <c r="G467" s="81" t="s">
        <v>69</v>
      </c>
      <c r="H467" s="81" t="s">
        <v>70</v>
      </c>
      <c r="I467" s="81" t="s">
        <v>1748</v>
      </c>
      <c r="J467" s="81" t="s">
        <v>1749</v>
      </c>
      <c r="K467" s="81"/>
      <c r="L467" s="52" t="str">
        <f t="shared" si="6"/>
        <v/>
      </c>
      <c r="M467" s="81"/>
      <c r="N467" s="53"/>
      <c r="O467" s="54"/>
    </row>
    <row r="468" spans="1:15" ht="25.5" x14ac:dyDescent="0.25">
      <c r="A468" s="78" t="s">
        <v>1730</v>
      </c>
      <c r="B468" t="s">
        <v>1731</v>
      </c>
      <c r="C468" s="85" t="s">
        <v>1750</v>
      </c>
      <c r="D468" s="85"/>
      <c r="E468" s="81" t="s">
        <v>1751</v>
      </c>
      <c r="F468" s="81" t="s">
        <v>68</v>
      </c>
      <c r="G468" s="81" t="s">
        <v>158</v>
      </c>
      <c r="H468" s="81" t="s">
        <v>70</v>
      </c>
      <c r="I468" s="81" t="s">
        <v>1752</v>
      </c>
      <c r="J468" s="81" t="s">
        <v>1753</v>
      </c>
      <c r="K468" s="81"/>
      <c r="L468" s="52" t="str">
        <f t="shared" si="6"/>
        <v/>
      </c>
      <c r="M468" s="81"/>
      <c r="N468" s="53"/>
      <c r="O468" s="54"/>
    </row>
    <row r="469" spans="1:15" ht="25.5" x14ac:dyDescent="0.25">
      <c r="A469" s="78" t="s">
        <v>1730</v>
      </c>
      <c r="B469" t="s">
        <v>1731</v>
      </c>
      <c r="C469" s="86" t="s">
        <v>1700</v>
      </c>
      <c r="D469" s="86"/>
      <c r="E469" s="84" t="s">
        <v>1701</v>
      </c>
      <c r="F469" s="84"/>
      <c r="G469" s="84" t="s">
        <v>158</v>
      </c>
      <c r="H469" s="84" t="s">
        <v>83</v>
      </c>
      <c r="I469" s="84" t="s">
        <v>1754</v>
      </c>
      <c r="J469" s="84" t="s">
        <v>1703</v>
      </c>
      <c r="K469" s="84" t="s">
        <v>1704</v>
      </c>
      <c r="L469" s="52" t="str">
        <f t="shared" si="6"/>
        <v/>
      </c>
      <c r="M469" s="84"/>
      <c r="N469" s="53"/>
      <c r="O469" s="54"/>
    </row>
    <row r="470" spans="1:15" ht="25.5" x14ac:dyDescent="0.25">
      <c r="A470" s="78" t="s">
        <v>1730</v>
      </c>
      <c r="B470" t="s">
        <v>1731</v>
      </c>
      <c r="C470" s="85" t="s">
        <v>876</v>
      </c>
      <c r="D470" s="85"/>
      <c r="E470" s="81" t="s">
        <v>877</v>
      </c>
      <c r="F470" s="81" t="s">
        <v>88</v>
      </c>
      <c r="G470" s="81" t="s">
        <v>69</v>
      </c>
      <c r="H470" s="81" t="s">
        <v>70</v>
      </c>
      <c r="I470" s="81" t="s">
        <v>1755</v>
      </c>
      <c r="J470" s="81" t="s">
        <v>1711</v>
      </c>
      <c r="K470" s="81" t="s">
        <v>1756</v>
      </c>
      <c r="L470" s="52" t="str">
        <f t="shared" si="6"/>
        <v/>
      </c>
      <c r="M470" s="81"/>
      <c r="N470" s="53"/>
      <c r="O470" s="54"/>
    </row>
    <row r="471" spans="1:15" ht="38.25" x14ac:dyDescent="0.25">
      <c r="A471" s="78" t="s">
        <v>1730</v>
      </c>
      <c r="B471" t="s">
        <v>1731</v>
      </c>
      <c r="C471" s="85" t="s">
        <v>1757</v>
      </c>
      <c r="D471" s="85"/>
      <c r="E471" s="81" t="s">
        <v>1758</v>
      </c>
      <c r="F471" s="81" t="s">
        <v>197</v>
      </c>
      <c r="G471" s="81" t="s">
        <v>69</v>
      </c>
      <c r="H471" s="81" t="s">
        <v>70</v>
      </c>
      <c r="I471" s="81" t="s">
        <v>1759</v>
      </c>
      <c r="J471" s="81" t="s">
        <v>1760</v>
      </c>
      <c r="K471" s="81" t="s">
        <v>1761</v>
      </c>
      <c r="L471" s="52" t="str">
        <f t="shared" si="6"/>
        <v/>
      </c>
      <c r="M471" s="81"/>
      <c r="N471" s="53"/>
      <c r="O471" s="54"/>
    </row>
    <row r="472" spans="1:15" ht="25.5" x14ac:dyDescent="0.25">
      <c r="A472" s="78" t="s">
        <v>1730</v>
      </c>
      <c r="B472" t="s">
        <v>1731</v>
      </c>
      <c r="C472" s="85" t="s">
        <v>66</v>
      </c>
      <c r="D472" s="85"/>
      <c r="E472" s="81" t="s">
        <v>67</v>
      </c>
      <c r="F472" s="81" t="s">
        <v>68</v>
      </c>
      <c r="G472" s="81" t="s">
        <v>69</v>
      </c>
      <c r="H472" s="81" t="s">
        <v>70</v>
      </c>
      <c r="I472" s="81" t="s">
        <v>1762</v>
      </c>
      <c r="J472" s="81" t="s">
        <v>1729</v>
      </c>
      <c r="K472" s="81" t="s">
        <v>73</v>
      </c>
      <c r="L472" s="52" t="str">
        <f t="shared" si="6"/>
        <v/>
      </c>
      <c r="M472" s="81"/>
      <c r="N472" s="53"/>
      <c r="O472" s="54"/>
    </row>
    <row r="473" spans="1:15" ht="25.5" x14ac:dyDescent="0.25">
      <c r="A473" s="78" t="s">
        <v>1763</v>
      </c>
      <c r="B473" t="s">
        <v>1764</v>
      </c>
      <c r="C473" s="78" t="s">
        <v>1763</v>
      </c>
      <c r="D473" s="78"/>
      <c r="E473" s="79" t="s">
        <v>1765</v>
      </c>
      <c r="F473" s="79"/>
      <c r="G473" s="79"/>
      <c r="H473" s="79" t="s">
        <v>62</v>
      </c>
      <c r="I473" s="79" t="s">
        <v>1766</v>
      </c>
      <c r="J473" s="79" t="s">
        <v>1767</v>
      </c>
      <c r="K473" s="79" t="s">
        <v>1768</v>
      </c>
      <c r="L473" s="52" t="str">
        <f>HYPERLINK("https://zibs.nl/wiki/GlasgowComaScale-v3.1(2017NL)#","")</f>
        <v/>
      </c>
      <c r="M473" s="79"/>
      <c r="N473" s="53"/>
      <c r="O473" s="54"/>
    </row>
    <row r="474" spans="1:15" ht="38.25" x14ac:dyDescent="0.25">
      <c r="A474" s="78" t="s">
        <v>1763</v>
      </c>
      <c r="B474" t="s">
        <v>1764</v>
      </c>
      <c r="C474" s="85" t="s">
        <v>1769</v>
      </c>
      <c r="D474" s="85"/>
      <c r="E474" s="81" t="s">
        <v>1770</v>
      </c>
      <c r="F474" s="81" t="s">
        <v>88</v>
      </c>
      <c r="G474" s="81" t="s">
        <v>77</v>
      </c>
      <c r="H474" s="81" t="s">
        <v>70</v>
      </c>
      <c r="I474" s="81" t="s">
        <v>1771</v>
      </c>
      <c r="J474" s="81" t="s">
        <v>1772</v>
      </c>
      <c r="K474" s="81"/>
      <c r="L474" s="52" t="str">
        <f>HYPERLINK("https://zibs.nl/wiki/GlasgowComaScale-v3.1(2017NL)#","")</f>
        <v/>
      </c>
      <c r="M474" s="81"/>
      <c r="N474" s="53"/>
      <c r="O474" s="54"/>
    </row>
    <row r="475" spans="1:15" ht="63.75" x14ac:dyDescent="0.25">
      <c r="A475" s="78" t="s">
        <v>1763</v>
      </c>
      <c r="B475" t="s">
        <v>1764</v>
      </c>
      <c r="C475" s="85" t="s">
        <v>1773</v>
      </c>
      <c r="D475" s="85"/>
      <c r="E475" s="81" t="s">
        <v>1774</v>
      </c>
      <c r="F475" s="81" t="s">
        <v>474</v>
      </c>
      <c r="G475" s="81" t="s">
        <v>69</v>
      </c>
      <c r="H475" s="81" t="s">
        <v>70</v>
      </c>
      <c r="I475" s="81" t="s">
        <v>1775</v>
      </c>
      <c r="J475" s="81" t="s">
        <v>1776</v>
      </c>
      <c r="K475" s="81" t="s">
        <v>1777</v>
      </c>
      <c r="L475" s="52" t="str">
        <f>HYPERLINK("https://zibs.nl/wiki/GlasgowComaScale-v3.1(2017NL)#GCS_EyesCodelijst","GCS_EyesCodelijst")</f>
        <v>GCS_EyesCodelijst</v>
      </c>
      <c r="M475" s="81"/>
      <c r="N475" s="53"/>
      <c r="O475" s="54"/>
    </row>
    <row r="476" spans="1:15" ht="51" x14ac:dyDescent="0.25">
      <c r="A476" s="78" t="s">
        <v>1763</v>
      </c>
      <c r="B476" t="s">
        <v>1764</v>
      </c>
      <c r="C476" s="85" t="s">
        <v>1778</v>
      </c>
      <c r="D476" s="85"/>
      <c r="E476" s="81" t="s">
        <v>1779</v>
      </c>
      <c r="F476" s="81" t="s">
        <v>474</v>
      </c>
      <c r="G476" s="81" t="s">
        <v>69</v>
      </c>
      <c r="H476" s="81" t="s">
        <v>70</v>
      </c>
      <c r="I476" s="81" t="s">
        <v>1780</v>
      </c>
      <c r="J476" s="81" t="s">
        <v>1781</v>
      </c>
      <c r="K476" s="81" t="s">
        <v>1782</v>
      </c>
      <c r="L476" s="52" t="str">
        <f>HYPERLINK("https://zibs.nl/wiki/GlasgowComaScale-v3.1(2017NL)#GCS_MotorCodelijst","GCS_MotorCodelijst")</f>
        <v>GCS_MotorCodelijst</v>
      </c>
      <c r="M476" s="81"/>
      <c r="N476" s="53"/>
      <c r="O476" s="54"/>
    </row>
    <row r="477" spans="1:15" ht="63.75" x14ac:dyDescent="0.25">
      <c r="A477" s="78" t="s">
        <v>1763</v>
      </c>
      <c r="B477" t="s">
        <v>1764</v>
      </c>
      <c r="C477" s="85" t="s">
        <v>1783</v>
      </c>
      <c r="D477" s="85"/>
      <c r="E477" s="81" t="s">
        <v>1784</v>
      </c>
      <c r="F477" s="81" t="s">
        <v>474</v>
      </c>
      <c r="G477" s="81" t="s">
        <v>69</v>
      </c>
      <c r="H477" s="81" t="s">
        <v>70</v>
      </c>
      <c r="I477" s="81" t="s">
        <v>1785</v>
      </c>
      <c r="J477" s="81" t="s">
        <v>1786</v>
      </c>
      <c r="K477" s="81" t="s">
        <v>1787</v>
      </c>
      <c r="L477" s="52" t="str">
        <f>HYPERLINK("https://zibs.nl/wiki/GlasgowComaScale-v3.1(2017NL)#GCS_VerbalCodelijst","GCS_VerbalCodelijst")</f>
        <v>GCS_VerbalCodelijst</v>
      </c>
      <c r="M477" s="81"/>
      <c r="N477" s="53"/>
      <c r="O477" s="54"/>
    </row>
    <row r="478" spans="1:15" ht="15" x14ac:dyDescent="0.25">
      <c r="A478" s="78" t="s">
        <v>1763</v>
      </c>
      <c r="B478" t="s">
        <v>1764</v>
      </c>
      <c r="C478" s="85"/>
      <c r="D478" s="85"/>
      <c r="E478" s="81"/>
      <c r="F478" s="81"/>
      <c r="G478" s="81"/>
      <c r="H478" s="81"/>
      <c r="I478" s="81"/>
      <c r="J478" s="81"/>
      <c r="K478" s="81"/>
      <c r="L478" s="52" t="str">
        <f>HYPERLINK("https://zibs.nl/wiki/GlasgowComaScale-v3.1(2017NL)#GCS_VerbalCodelijstBaby","GCS_VerbalCodelijstBaby")</f>
        <v>GCS_VerbalCodelijstBaby</v>
      </c>
      <c r="M478" s="81"/>
      <c r="N478" s="53"/>
      <c r="O478" s="54"/>
    </row>
    <row r="479" spans="1:15" ht="15" x14ac:dyDescent="0.25">
      <c r="A479" s="78" t="s">
        <v>1763</v>
      </c>
      <c r="B479" t="s">
        <v>1764</v>
      </c>
      <c r="C479" s="85"/>
      <c r="D479" s="85"/>
      <c r="E479" s="81"/>
      <c r="F479" s="81"/>
      <c r="G479" s="81"/>
      <c r="H479" s="81"/>
      <c r="I479" s="81"/>
      <c r="J479" s="81"/>
      <c r="K479" s="81"/>
      <c r="L479" s="52" t="str">
        <f>HYPERLINK("https://zibs.nl/wiki/GlasgowComaScale-v3.1(2017NL)#GCS_VerbalCodelijstKleuter","GCS_VerbalCodelijstKleuter")</f>
        <v>GCS_VerbalCodelijstKleuter</v>
      </c>
      <c r="M479" s="81"/>
      <c r="N479" s="53"/>
      <c r="O479" s="54"/>
    </row>
    <row r="480" spans="1:15" ht="38.25" x14ac:dyDescent="0.25">
      <c r="A480" s="78" t="s">
        <v>1763</v>
      </c>
      <c r="B480" t="s">
        <v>1764</v>
      </c>
      <c r="C480" s="85" t="s">
        <v>1335</v>
      </c>
      <c r="D480" s="85"/>
      <c r="E480" s="81" t="s">
        <v>1336</v>
      </c>
      <c r="F480" s="81" t="s">
        <v>505</v>
      </c>
      <c r="G480" s="81" t="s">
        <v>69</v>
      </c>
      <c r="H480" s="81" t="s">
        <v>341</v>
      </c>
      <c r="I480" s="81" t="s">
        <v>1788</v>
      </c>
      <c r="J480" s="81" t="s">
        <v>1789</v>
      </c>
      <c r="K480" s="81"/>
      <c r="L480" s="52" t="str">
        <f>HYPERLINK("https://zibs.nl/wiki/GlasgowComaScale-v3.1(2017NL)#","")</f>
        <v/>
      </c>
      <c r="M480" s="81" t="s">
        <v>1790</v>
      </c>
      <c r="N480" s="53"/>
      <c r="O480" s="54"/>
    </row>
    <row r="481" spans="1:15" ht="38.25" x14ac:dyDescent="0.25">
      <c r="A481" s="78" t="s">
        <v>1763</v>
      </c>
      <c r="B481" t="s">
        <v>1764</v>
      </c>
      <c r="C481" s="85" t="s">
        <v>1791</v>
      </c>
      <c r="D481" s="85"/>
      <c r="E481" s="81" t="s">
        <v>1792</v>
      </c>
      <c r="F481" s="81" t="s">
        <v>76</v>
      </c>
      <c r="G481" s="81" t="s">
        <v>158</v>
      </c>
      <c r="H481" s="81" t="s">
        <v>70</v>
      </c>
      <c r="I481" s="81" t="s">
        <v>1793</v>
      </c>
      <c r="J481" s="81" t="s">
        <v>1794</v>
      </c>
      <c r="K481" s="81"/>
      <c r="L481" s="52" t="str">
        <f>HYPERLINK("https://zibs.nl/wiki/GlasgowComaScale-v3.1(2017NL)#ConditiesTijdensMetingCodelijst","ConditiesTijdensMetingCodelijst")</f>
        <v>ConditiesTijdensMetingCodelijst</v>
      </c>
      <c r="M481" s="81"/>
      <c r="N481" s="53"/>
      <c r="O481" s="54"/>
    </row>
    <row r="482" spans="1:15" ht="25.5" x14ac:dyDescent="0.25">
      <c r="A482" s="78" t="s">
        <v>1763</v>
      </c>
      <c r="B482" t="s">
        <v>1764</v>
      </c>
      <c r="C482" s="85" t="s">
        <v>66</v>
      </c>
      <c r="D482" s="85"/>
      <c r="E482" s="81" t="s">
        <v>67</v>
      </c>
      <c r="F482" s="81" t="s">
        <v>68</v>
      </c>
      <c r="G482" s="81" t="s">
        <v>69</v>
      </c>
      <c r="H482" s="81" t="s">
        <v>70</v>
      </c>
      <c r="I482" s="81" t="s">
        <v>1795</v>
      </c>
      <c r="J482" s="81" t="s">
        <v>1796</v>
      </c>
      <c r="K482" s="81" t="s">
        <v>73</v>
      </c>
      <c r="L482" s="52" t="str">
        <f>HYPERLINK("https://zibs.nl/wiki/GlasgowComaScale-v3.1(2017NL)#","")</f>
        <v/>
      </c>
      <c r="M482" s="81"/>
      <c r="N482" s="53"/>
      <c r="O482" s="54"/>
    </row>
    <row r="483" spans="1:15" ht="25.5" x14ac:dyDescent="0.25">
      <c r="A483" s="78" t="s">
        <v>1797</v>
      </c>
      <c r="B483" t="s">
        <v>1798</v>
      </c>
      <c r="C483" s="78" t="s">
        <v>1797</v>
      </c>
      <c r="D483" s="78"/>
      <c r="E483" s="79" t="s">
        <v>1799</v>
      </c>
      <c r="F483" s="79"/>
      <c r="G483" s="79"/>
      <c r="H483" s="79" t="s">
        <v>62</v>
      </c>
      <c r="I483" s="79" t="s">
        <v>1800</v>
      </c>
      <c r="J483" s="79" t="s">
        <v>1801</v>
      </c>
      <c r="K483" s="79"/>
      <c r="L483" s="52" t="str">
        <f>HYPERLINK("https://zibs.nl/wiki/Hartfrequentie-v3.1(2017NL)#","")</f>
        <v/>
      </c>
      <c r="M483" s="79"/>
      <c r="N483" s="53"/>
      <c r="O483" s="54"/>
    </row>
    <row r="484" spans="1:15" ht="25.5" x14ac:dyDescent="0.25">
      <c r="A484" s="78" t="s">
        <v>1797</v>
      </c>
      <c r="B484" t="s">
        <v>1798</v>
      </c>
      <c r="C484" s="85" t="s">
        <v>1802</v>
      </c>
      <c r="D484" s="85"/>
      <c r="E484" s="81" t="s">
        <v>1803</v>
      </c>
      <c r="F484" s="81" t="s">
        <v>97</v>
      </c>
      <c r="G484" s="81" t="s">
        <v>77</v>
      </c>
      <c r="H484" s="81" t="s">
        <v>70</v>
      </c>
      <c r="I484" s="81" t="s">
        <v>1804</v>
      </c>
      <c r="J484" s="81" t="s">
        <v>1805</v>
      </c>
      <c r="K484" s="81" t="s">
        <v>1806</v>
      </c>
      <c r="L484" s="52" t="str">
        <f>HYPERLINK("https://zibs.nl/wiki/Hartfrequentie-v3.1(2017NL)#","")</f>
        <v/>
      </c>
      <c r="M484" s="81"/>
      <c r="N484" s="53"/>
      <c r="O484" s="54"/>
    </row>
    <row r="485" spans="1:15" ht="25.5" x14ac:dyDescent="0.25">
      <c r="A485" s="78" t="s">
        <v>1797</v>
      </c>
      <c r="B485" t="s">
        <v>1798</v>
      </c>
      <c r="C485" s="85" t="s">
        <v>1807</v>
      </c>
      <c r="D485" s="85"/>
      <c r="E485" s="81" t="s">
        <v>1808</v>
      </c>
      <c r="F485" s="81" t="s">
        <v>88</v>
      </c>
      <c r="G485" s="81" t="s">
        <v>77</v>
      </c>
      <c r="H485" s="81" t="s">
        <v>70</v>
      </c>
      <c r="I485" s="81" t="s">
        <v>1809</v>
      </c>
      <c r="J485" s="81" t="s">
        <v>1810</v>
      </c>
      <c r="K485" s="81"/>
      <c r="L485" s="52" t="str">
        <f>HYPERLINK("https://zibs.nl/wiki/Hartfrequentie-v3.1(2017NL)#","")</f>
        <v/>
      </c>
      <c r="M485" s="81"/>
      <c r="N485" s="53"/>
      <c r="O485" s="54"/>
    </row>
    <row r="486" spans="1:15" ht="38.25" x14ac:dyDescent="0.25">
      <c r="A486" s="78" t="s">
        <v>1797</v>
      </c>
      <c r="B486" t="s">
        <v>1798</v>
      </c>
      <c r="C486" s="85" t="s">
        <v>1811</v>
      </c>
      <c r="D486" s="85"/>
      <c r="E486" s="81" t="s">
        <v>1812</v>
      </c>
      <c r="F486" s="81" t="s">
        <v>76</v>
      </c>
      <c r="G486" s="81" t="s">
        <v>69</v>
      </c>
      <c r="H486" s="81" t="s">
        <v>70</v>
      </c>
      <c r="I486" s="81" t="s">
        <v>1813</v>
      </c>
      <c r="J486" s="81" t="s">
        <v>1814</v>
      </c>
      <c r="K486" s="81"/>
      <c r="L486" s="52" t="str">
        <f>HYPERLINK("https://zibs.nl/wiki/Hartfrequentie-v3.1(2017NL)#HartslagMeetMethodeCodelijst","HartslagMeetMethodeCodelijst")</f>
        <v>HartslagMeetMethodeCodelijst</v>
      </c>
      <c r="M486" s="81"/>
      <c r="N486" s="53"/>
      <c r="O486" s="54"/>
    </row>
    <row r="487" spans="1:15" ht="25.5" x14ac:dyDescent="0.25">
      <c r="A487" s="78" t="s">
        <v>1797</v>
      </c>
      <c r="B487" t="s">
        <v>1798</v>
      </c>
      <c r="C487" s="85" t="s">
        <v>66</v>
      </c>
      <c r="D487" s="85"/>
      <c r="E487" s="81" t="s">
        <v>67</v>
      </c>
      <c r="F487" s="81" t="s">
        <v>68</v>
      </c>
      <c r="G487" s="81" t="s">
        <v>69</v>
      </c>
      <c r="H487" s="81" t="s">
        <v>70</v>
      </c>
      <c r="I487" s="81" t="s">
        <v>1815</v>
      </c>
      <c r="J487" s="81" t="s">
        <v>1816</v>
      </c>
      <c r="K487" s="81" t="s">
        <v>73</v>
      </c>
      <c r="L487" s="52" t="str">
        <f>HYPERLINK("https://zibs.nl/wiki/Hartfrequentie-v3.1(2017NL)#","")</f>
        <v/>
      </c>
      <c r="M487" s="81"/>
      <c r="N487" s="53"/>
      <c r="O487" s="54"/>
    </row>
    <row r="488" spans="1:15" ht="25.5" x14ac:dyDescent="0.25">
      <c r="A488" s="78" t="s">
        <v>1797</v>
      </c>
      <c r="B488" t="s">
        <v>1798</v>
      </c>
      <c r="C488" s="85" t="s">
        <v>1817</v>
      </c>
      <c r="D488" s="85"/>
      <c r="E488" s="81" t="s">
        <v>1818</v>
      </c>
      <c r="F488" s="81" t="s">
        <v>76</v>
      </c>
      <c r="G488" s="81" t="s">
        <v>69</v>
      </c>
      <c r="H488" s="81" t="s">
        <v>70</v>
      </c>
      <c r="I488" s="81" t="s">
        <v>1819</v>
      </c>
      <c r="J488" s="81" t="s">
        <v>1820</v>
      </c>
      <c r="K488" s="81"/>
      <c r="L488" s="52" t="str">
        <f>HYPERLINK("https://zibs.nl/wiki/Hartfrequentie-v3.1(2017NL)#HartslagRegelmatigheidCodelijst","HartslagRegelmatigheidCodelijst")</f>
        <v>HartslagRegelmatigheidCodelijst</v>
      </c>
      <c r="M488" s="81"/>
      <c r="N488" s="53"/>
      <c r="O488" s="54"/>
    </row>
    <row r="489" spans="1:15" ht="25.5" x14ac:dyDescent="0.25">
      <c r="A489" s="78" t="s">
        <v>1821</v>
      </c>
      <c r="B489" t="s">
        <v>1822</v>
      </c>
      <c r="C489" s="78" t="s">
        <v>1821</v>
      </c>
      <c r="D489" s="78"/>
      <c r="E489" s="79" t="s">
        <v>1823</v>
      </c>
      <c r="F489" s="79"/>
      <c r="G489" s="79"/>
      <c r="H489" s="79" t="s">
        <v>62</v>
      </c>
      <c r="I489" s="79" t="s">
        <v>1824</v>
      </c>
      <c r="J489" s="79" t="s">
        <v>1825</v>
      </c>
      <c r="K489" s="79"/>
      <c r="L489" s="52" t="str">
        <f>HYPERLINK("https://zibs.nl/wiki/Huidaandoening-v3.2(2017NL)#","")</f>
        <v/>
      </c>
      <c r="M489" s="79"/>
      <c r="N489" s="53"/>
      <c r="O489" s="54"/>
    </row>
    <row r="490" spans="1:15" ht="25.5" x14ac:dyDescent="0.25">
      <c r="A490" s="78" t="s">
        <v>1821</v>
      </c>
      <c r="B490" t="s">
        <v>1822</v>
      </c>
      <c r="C490" s="85" t="s">
        <v>1826</v>
      </c>
      <c r="D490" s="85"/>
      <c r="E490" s="81" t="s">
        <v>1827</v>
      </c>
      <c r="F490" s="81" t="s">
        <v>76</v>
      </c>
      <c r="G490" s="81" t="s">
        <v>69</v>
      </c>
      <c r="H490" s="81" t="s">
        <v>70</v>
      </c>
      <c r="I490" s="81" t="s">
        <v>1828</v>
      </c>
      <c r="J490" s="81" t="s">
        <v>1829</v>
      </c>
      <c r="K490" s="81" t="s">
        <v>1830</v>
      </c>
      <c r="L490" s="52" t="str">
        <f>HYPERLINK("https://zibs.nl/wiki/Huidaandoening-v3.2(2017NL)#SoortAandoeningCodelijst","SoortAandoeningCodelijst")</f>
        <v>SoortAandoeningCodelijst</v>
      </c>
      <c r="M490" s="81"/>
      <c r="N490" s="53"/>
      <c r="O490" s="54"/>
    </row>
    <row r="491" spans="1:15" ht="25.5" x14ac:dyDescent="0.25">
      <c r="A491" s="78" t="s">
        <v>1821</v>
      </c>
      <c r="B491" t="s">
        <v>1822</v>
      </c>
      <c r="C491" s="85" t="s">
        <v>1368</v>
      </c>
      <c r="D491" s="85"/>
      <c r="E491" s="81" t="s">
        <v>1369</v>
      </c>
      <c r="F491" s="81" t="s">
        <v>88</v>
      </c>
      <c r="G491" s="81" t="s">
        <v>69</v>
      </c>
      <c r="H491" s="81" t="s">
        <v>70</v>
      </c>
      <c r="I491" s="81" t="s">
        <v>1831</v>
      </c>
      <c r="J491" s="81" t="s">
        <v>1832</v>
      </c>
      <c r="K491" s="81"/>
      <c r="L491" s="52" t="str">
        <f>HYPERLINK("https://zibs.nl/wiki/Huidaandoening-v3.2(2017NL)#","")</f>
        <v/>
      </c>
      <c r="M491" s="81"/>
      <c r="N491" s="53"/>
      <c r="O491" s="54"/>
    </row>
    <row r="492" spans="1:15" ht="25.5" x14ac:dyDescent="0.25">
      <c r="A492" s="78" t="s">
        <v>1821</v>
      </c>
      <c r="B492" t="s">
        <v>1822</v>
      </c>
      <c r="C492" s="85" t="s">
        <v>1833</v>
      </c>
      <c r="D492" s="85"/>
      <c r="E492" s="81" t="s">
        <v>1834</v>
      </c>
      <c r="F492" s="81"/>
      <c r="G492" s="81" t="s">
        <v>69</v>
      </c>
      <c r="H492" s="81" t="s">
        <v>110</v>
      </c>
      <c r="I492" s="81" t="s">
        <v>1835</v>
      </c>
      <c r="J492" s="81" t="s">
        <v>1836</v>
      </c>
      <c r="K492" s="81" t="s">
        <v>1837</v>
      </c>
      <c r="L492" s="62" t="s">
        <v>113</v>
      </c>
      <c r="M492" s="81"/>
      <c r="N492" s="53"/>
      <c r="O492" s="54"/>
    </row>
    <row r="493" spans="1:15" ht="25.5" x14ac:dyDescent="0.25">
      <c r="A493" s="78" t="s">
        <v>1821</v>
      </c>
      <c r="B493" t="s">
        <v>1822</v>
      </c>
      <c r="C493" s="85" t="s">
        <v>543</v>
      </c>
      <c r="D493" s="85"/>
      <c r="E493" s="81" t="s">
        <v>544</v>
      </c>
      <c r="F493" s="81" t="s">
        <v>76</v>
      </c>
      <c r="G493" s="81" t="s">
        <v>69</v>
      </c>
      <c r="H493" s="81" t="s">
        <v>70</v>
      </c>
      <c r="I493" s="81" t="s">
        <v>1838</v>
      </c>
      <c r="J493" s="81" t="s">
        <v>1839</v>
      </c>
      <c r="K493" s="81" t="s">
        <v>1382</v>
      </c>
      <c r="L493" s="52" t="str">
        <f>HYPERLINK("https://zibs.nl/wiki/Huidaandoening-v3.2(2017NL)#HuidAnatomischeLocatieCodelijst","HuidAnatomischeLocatieCodelijst")</f>
        <v>HuidAnatomischeLocatieCodelijst</v>
      </c>
      <c r="M493" s="81"/>
      <c r="N493" s="53"/>
      <c r="O493" s="54"/>
    </row>
    <row r="494" spans="1:15" ht="25.5" x14ac:dyDescent="0.25">
      <c r="A494" s="78" t="s">
        <v>1821</v>
      </c>
      <c r="B494" t="s">
        <v>1822</v>
      </c>
      <c r="C494" s="85" t="s">
        <v>548</v>
      </c>
      <c r="D494" s="85"/>
      <c r="E494" s="81" t="s">
        <v>549</v>
      </c>
      <c r="F494" s="81" t="s">
        <v>76</v>
      </c>
      <c r="G494" s="81" t="s">
        <v>69</v>
      </c>
      <c r="H494" s="81" t="s">
        <v>70</v>
      </c>
      <c r="I494" s="81" t="s">
        <v>1840</v>
      </c>
      <c r="J494" s="81" t="s">
        <v>551</v>
      </c>
      <c r="K494" s="81" t="s">
        <v>552</v>
      </c>
      <c r="L494" s="52" t="str">
        <f>HYPERLINK("https://zibs.nl/wiki/Huidaandoening-v3.2(2017NL)#HuidLateraliteitCodelijst","HuidLateraliteitCodelijst")</f>
        <v>HuidLateraliteitCodelijst</v>
      </c>
      <c r="M494" s="81"/>
      <c r="N494" s="53"/>
      <c r="O494" s="54"/>
    </row>
    <row r="495" spans="1:15" ht="25.5" x14ac:dyDescent="0.25">
      <c r="A495" s="78" t="s">
        <v>1821</v>
      </c>
      <c r="B495" t="s">
        <v>1822</v>
      </c>
      <c r="C495" s="85" t="s">
        <v>66</v>
      </c>
      <c r="D495" s="85"/>
      <c r="E495" s="81" t="s">
        <v>67</v>
      </c>
      <c r="F495" s="81" t="s">
        <v>68</v>
      </c>
      <c r="G495" s="81" t="s">
        <v>69</v>
      </c>
      <c r="H495" s="81" t="s">
        <v>70</v>
      </c>
      <c r="I495" s="81" t="s">
        <v>1841</v>
      </c>
      <c r="J495" s="81" t="s">
        <v>1842</v>
      </c>
      <c r="K495" s="81" t="s">
        <v>73</v>
      </c>
      <c r="L495" s="52" t="str">
        <f>HYPERLINK("https://zibs.nl/wiki/Huidaandoening-v3.2(2017NL)#","")</f>
        <v/>
      </c>
      <c r="M495" s="81"/>
      <c r="N495" s="53"/>
      <c r="O495" s="54"/>
    </row>
    <row r="496" spans="1:15" ht="25.5" x14ac:dyDescent="0.25">
      <c r="A496" s="78" t="s">
        <v>1843</v>
      </c>
      <c r="B496" t="s">
        <v>1844</v>
      </c>
      <c r="C496" s="78" t="s">
        <v>1843</v>
      </c>
      <c r="D496" s="78"/>
      <c r="E496" s="79" t="s">
        <v>1845</v>
      </c>
      <c r="F496" s="79"/>
      <c r="G496" s="79"/>
      <c r="H496" s="79" t="s">
        <v>62</v>
      </c>
      <c r="I496" s="79" t="s">
        <v>1846</v>
      </c>
      <c r="J496" s="79" t="s">
        <v>1847</v>
      </c>
      <c r="K496" s="79" t="s">
        <v>1848</v>
      </c>
      <c r="L496" s="52" t="str">
        <f>HYPERLINK("https://zibs.nl/wiki/HulpVanAnderen-v3.0(2017NL)#","")</f>
        <v/>
      </c>
      <c r="M496" s="79"/>
      <c r="N496" s="53"/>
      <c r="O496" s="54"/>
    </row>
    <row r="497" spans="1:15" ht="38.25" x14ac:dyDescent="0.25">
      <c r="A497" s="78" t="s">
        <v>1843</v>
      </c>
      <c r="B497" t="s">
        <v>1844</v>
      </c>
      <c r="C497" s="86" t="s">
        <v>1849</v>
      </c>
      <c r="D497" s="86"/>
      <c r="E497" s="84" t="s">
        <v>1850</v>
      </c>
      <c r="F497" s="84"/>
      <c r="G497" s="84" t="s">
        <v>69</v>
      </c>
      <c r="H497" s="84" t="s">
        <v>83</v>
      </c>
      <c r="I497" s="84" t="s">
        <v>1851</v>
      </c>
      <c r="J497" s="84" t="s">
        <v>1852</v>
      </c>
      <c r="K497" s="84"/>
      <c r="L497" s="52" t="str">
        <f>HYPERLINK("https://zibs.nl/wiki/HulpVanAnderen-v3.0(2017NL)#","")</f>
        <v/>
      </c>
      <c r="M497" s="84"/>
      <c r="N497" s="53"/>
      <c r="O497" s="54"/>
    </row>
    <row r="498" spans="1:15" ht="25.5" x14ac:dyDescent="0.25">
      <c r="A498" s="78" t="s">
        <v>1843</v>
      </c>
      <c r="B498" t="s">
        <v>1844</v>
      </c>
      <c r="C498" s="85" t="s">
        <v>812</v>
      </c>
      <c r="D498" s="85"/>
      <c r="E498" s="81" t="s">
        <v>813</v>
      </c>
      <c r="F498" s="81"/>
      <c r="G498" s="81" t="s">
        <v>109</v>
      </c>
      <c r="H498" s="81" t="s">
        <v>110</v>
      </c>
      <c r="I498" s="81" t="s">
        <v>1853</v>
      </c>
      <c r="J498" s="81" t="s">
        <v>1854</v>
      </c>
      <c r="K498" s="81"/>
      <c r="L498" s="62" t="s">
        <v>402</v>
      </c>
      <c r="M498" s="81"/>
      <c r="N498" s="53"/>
      <c r="O498" s="54"/>
    </row>
    <row r="499" spans="1:15" ht="25.5" x14ac:dyDescent="0.25">
      <c r="A499" s="78" t="s">
        <v>1843</v>
      </c>
      <c r="B499" t="s">
        <v>1844</v>
      </c>
      <c r="C499" s="85" t="s">
        <v>1855</v>
      </c>
      <c r="D499" s="85"/>
      <c r="E499" s="81" t="s">
        <v>1856</v>
      </c>
      <c r="F499" s="81"/>
      <c r="G499" s="81" t="s">
        <v>109</v>
      </c>
      <c r="H499" s="81" t="s">
        <v>110</v>
      </c>
      <c r="I499" s="81" t="s">
        <v>1857</v>
      </c>
      <c r="J499" s="81" t="s">
        <v>1858</v>
      </c>
      <c r="K499" s="81"/>
      <c r="L499" s="62" t="s">
        <v>1109</v>
      </c>
      <c r="M499" s="81"/>
      <c r="N499" s="53"/>
      <c r="O499" s="54"/>
    </row>
    <row r="500" spans="1:15" ht="25.5" x14ac:dyDescent="0.25">
      <c r="A500" s="78" t="s">
        <v>1843</v>
      </c>
      <c r="B500" t="s">
        <v>1844</v>
      </c>
      <c r="C500" s="85" t="s">
        <v>22</v>
      </c>
      <c r="D500" s="85"/>
      <c r="E500" s="81" t="s">
        <v>1149</v>
      </c>
      <c r="F500" s="81"/>
      <c r="G500" s="81" t="s">
        <v>109</v>
      </c>
      <c r="H500" s="81" t="s">
        <v>110</v>
      </c>
      <c r="I500" s="81" t="s">
        <v>1859</v>
      </c>
      <c r="J500" s="81" t="s">
        <v>1860</v>
      </c>
      <c r="K500" s="81"/>
      <c r="L500" s="62" t="s">
        <v>975</v>
      </c>
      <c r="M500" s="81"/>
      <c r="N500" s="53"/>
      <c r="O500" s="54"/>
    </row>
    <row r="501" spans="1:15" ht="15" x14ac:dyDescent="0.25">
      <c r="A501" s="78" t="s">
        <v>1843</v>
      </c>
      <c r="B501" t="s">
        <v>1844</v>
      </c>
      <c r="C501" s="85" t="s">
        <v>1861</v>
      </c>
      <c r="D501" s="85"/>
      <c r="E501" s="81" t="s">
        <v>1862</v>
      </c>
      <c r="F501" s="81" t="s">
        <v>68</v>
      </c>
      <c r="G501" s="81" t="s">
        <v>69</v>
      </c>
      <c r="H501" s="81" t="s">
        <v>70</v>
      </c>
      <c r="I501" s="81" t="s">
        <v>1863</v>
      </c>
      <c r="J501" s="81" t="s">
        <v>1864</v>
      </c>
      <c r="K501" s="81"/>
      <c r="L501" s="52" t="str">
        <f>HYPERLINK("https://zibs.nl/wiki/HulpVanAnderen-v3.0(2017NL)#","")</f>
        <v/>
      </c>
      <c r="M501" s="81"/>
      <c r="N501" s="53"/>
      <c r="O501" s="54"/>
    </row>
    <row r="502" spans="1:15" ht="38.25" x14ac:dyDescent="0.25">
      <c r="A502" s="78" t="s">
        <v>1843</v>
      </c>
      <c r="B502" t="s">
        <v>1844</v>
      </c>
      <c r="C502" s="85" t="s">
        <v>1463</v>
      </c>
      <c r="D502" s="85"/>
      <c r="E502" s="81" t="s">
        <v>1464</v>
      </c>
      <c r="F502" s="81" t="s">
        <v>68</v>
      </c>
      <c r="G502" s="81" t="s">
        <v>69</v>
      </c>
      <c r="H502" s="81" t="s">
        <v>70</v>
      </c>
      <c r="I502" s="81" t="s">
        <v>1865</v>
      </c>
      <c r="J502" s="81" t="s">
        <v>1866</v>
      </c>
      <c r="K502" s="81" t="s">
        <v>1867</v>
      </c>
      <c r="L502" s="52" t="str">
        <f>HYPERLINK("https://zibs.nl/wiki/HulpVanAnderen-v3.0(2017NL)#","")</f>
        <v/>
      </c>
      <c r="M502" s="81"/>
      <c r="N502" s="53"/>
      <c r="O502" s="54"/>
    </row>
    <row r="503" spans="1:15" ht="15" x14ac:dyDescent="0.25">
      <c r="A503" s="78" t="s">
        <v>1843</v>
      </c>
      <c r="B503" t="s">
        <v>1844</v>
      </c>
      <c r="C503" s="85" t="s">
        <v>1868</v>
      </c>
      <c r="D503" s="85"/>
      <c r="E503" s="81" t="s">
        <v>1869</v>
      </c>
      <c r="F503" s="81" t="s">
        <v>76</v>
      </c>
      <c r="G503" s="81" t="s">
        <v>69</v>
      </c>
      <c r="H503" s="81" t="s">
        <v>70</v>
      </c>
      <c r="I503" s="81" t="s">
        <v>1870</v>
      </c>
      <c r="J503" s="81" t="s">
        <v>1871</v>
      </c>
      <c r="K503" s="81"/>
      <c r="L503" s="52" t="str">
        <f>HYPERLINK("https://zibs.nl/wiki/HulpVanAnderen-v3.0(2017NL)#SoortHulpCodelijst","SoortHulpCodelijst")</f>
        <v>SoortHulpCodelijst</v>
      </c>
      <c r="M503" s="81"/>
      <c r="N503" s="53"/>
      <c r="O503" s="54"/>
    </row>
    <row r="504" spans="1:15" ht="25.5" x14ac:dyDescent="0.25">
      <c r="A504" s="78" t="s">
        <v>1843</v>
      </c>
      <c r="B504" t="s">
        <v>1844</v>
      </c>
      <c r="C504" s="85" t="s">
        <v>66</v>
      </c>
      <c r="D504" s="85"/>
      <c r="E504" s="81" t="s">
        <v>67</v>
      </c>
      <c r="F504" s="81" t="s">
        <v>68</v>
      </c>
      <c r="G504" s="81" t="s">
        <v>69</v>
      </c>
      <c r="H504" s="81" t="s">
        <v>70</v>
      </c>
      <c r="I504" s="81" t="s">
        <v>1872</v>
      </c>
      <c r="J504" s="81" t="s">
        <v>1873</v>
      </c>
      <c r="K504" s="81" t="s">
        <v>73</v>
      </c>
      <c r="L504" s="52" t="str">
        <f>HYPERLINK("https://zibs.nl/wiki/HulpVanAnderen-v3.0(2017NL)#","")</f>
        <v/>
      </c>
      <c r="M504" s="81"/>
      <c r="N504" s="53"/>
      <c r="O504" s="54"/>
    </row>
    <row r="505" spans="1:15" ht="25.5" x14ac:dyDescent="0.25">
      <c r="A505" s="78" t="s">
        <v>1874</v>
      </c>
      <c r="B505" t="s">
        <v>1875</v>
      </c>
      <c r="C505" s="78" t="s">
        <v>1874</v>
      </c>
      <c r="D505" s="78"/>
      <c r="E505" s="79" t="s">
        <v>1876</v>
      </c>
      <c r="F505" s="79"/>
      <c r="G505" s="79"/>
      <c r="H505" s="79" t="s">
        <v>62</v>
      </c>
      <c r="I505" s="79" t="s">
        <v>1877</v>
      </c>
      <c r="J505" s="79" t="s">
        <v>1878</v>
      </c>
      <c r="K505" s="79" t="s">
        <v>1879</v>
      </c>
      <c r="L505" s="52" t="str">
        <f>HYPERLINK("https://zibs.nl/wiki/Infuus-v3.2(2017NL)#","")</f>
        <v/>
      </c>
      <c r="M505" s="79"/>
      <c r="N505" s="53"/>
      <c r="O505" s="54"/>
    </row>
    <row r="506" spans="1:15" ht="38.25" x14ac:dyDescent="0.25">
      <c r="A506" s="78" t="s">
        <v>1874</v>
      </c>
      <c r="B506" t="s">
        <v>1875</v>
      </c>
      <c r="C506" s="85" t="s">
        <v>1880</v>
      </c>
      <c r="D506" s="85"/>
      <c r="E506" s="81" t="s">
        <v>1881</v>
      </c>
      <c r="F506" s="81"/>
      <c r="G506" s="81" t="s">
        <v>69</v>
      </c>
      <c r="H506" s="81" t="s">
        <v>110</v>
      </c>
      <c r="I506" s="81" t="s">
        <v>1882</v>
      </c>
      <c r="J506" s="81" t="s">
        <v>1883</v>
      </c>
      <c r="K506" s="81" t="s">
        <v>1884</v>
      </c>
      <c r="L506" s="62" t="s">
        <v>488</v>
      </c>
      <c r="M506" s="81"/>
      <c r="N506" s="53"/>
      <c r="O506" s="54"/>
    </row>
    <row r="507" spans="1:15" ht="25.5" x14ac:dyDescent="0.25">
      <c r="A507" s="78" t="s">
        <v>1874</v>
      </c>
      <c r="B507" t="s">
        <v>1875</v>
      </c>
      <c r="C507" s="85" t="s">
        <v>789</v>
      </c>
      <c r="D507" s="85"/>
      <c r="E507" s="81" t="s">
        <v>790</v>
      </c>
      <c r="F507" s="81" t="s">
        <v>76</v>
      </c>
      <c r="G507" s="81"/>
      <c r="H507" s="81" t="s">
        <v>70</v>
      </c>
      <c r="I507" s="81" t="s">
        <v>791</v>
      </c>
      <c r="J507" s="81" t="s">
        <v>1885</v>
      </c>
      <c r="K507" s="81"/>
      <c r="L507" s="52" t="str">
        <f>HYPERLINK("https://zibs.nl/wiki/Infuus-v3.2(2017NL)#InfuuskatheterTypeCodelijst","InfuuskatheterTypeCodelijst")</f>
        <v>InfuuskatheterTypeCodelijst</v>
      </c>
      <c r="M507" s="81"/>
      <c r="N507" s="53"/>
      <c r="O507" s="54"/>
    </row>
    <row r="508" spans="1:15" ht="25.5" x14ac:dyDescent="0.25">
      <c r="A508" s="78" t="s">
        <v>1874</v>
      </c>
      <c r="B508" t="s">
        <v>1875</v>
      </c>
      <c r="C508" s="85" t="s">
        <v>66</v>
      </c>
      <c r="D508" s="85"/>
      <c r="E508" s="81" t="s">
        <v>67</v>
      </c>
      <c r="F508" s="81" t="s">
        <v>68</v>
      </c>
      <c r="G508" s="81" t="s">
        <v>69</v>
      </c>
      <c r="H508" s="81" t="s">
        <v>70</v>
      </c>
      <c r="I508" s="81" t="s">
        <v>1886</v>
      </c>
      <c r="J508" s="81" t="s">
        <v>1887</v>
      </c>
      <c r="K508" s="81" t="s">
        <v>73</v>
      </c>
      <c r="L508" s="52" t="str">
        <f>HYPERLINK("https://zibs.nl/wiki/Infuus-v3.2(2017NL)#","")</f>
        <v/>
      </c>
      <c r="M508" s="81"/>
      <c r="N508" s="53"/>
      <c r="O508" s="54"/>
    </row>
    <row r="509" spans="1:15" ht="38.25" x14ac:dyDescent="0.25">
      <c r="A509" s="78" t="s">
        <v>1874</v>
      </c>
      <c r="B509" t="s">
        <v>1875</v>
      </c>
      <c r="C509" s="86" t="s">
        <v>1888</v>
      </c>
      <c r="D509" s="86"/>
      <c r="E509" s="84" t="s">
        <v>1889</v>
      </c>
      <c r="F509" s="84"/>
      <c r="G509" s="84" t="s">
        <v>1890</v>
      </c>
      <c r="H509" s="84" t="s">
        <v>83</v>
      </c>
      <c r="I509" s="84" t="s">
        <v>1891</v>
      </c>
      <c r="J509" s="84" t="s">
        <v>1892</v>
      </c>
      <c r="K509" s="84"/>
      <c r="L509" s="52" t="str">
        <f>HYPERLINK("https://zibs.nl/wiki/Infuus-v3.2(2017NL)#","")</f>
        <v/>
      </c>
      <c r="M509" s="84"/>
      <c r="N509" s="53"/>
      <c r="O509" s="54"/>
    </row>
    <row r="510" spans="1:15" ht="25.5" x14ac:dyDescent="0.25">
      <c r="A510" s="78" t="s">
        <v>1874</v>
      </c>
      <c r="B510" t="s">
        <v>1875</v>
      </c>
      <c r="C510" s="85" t="s">
        <v>1893</v>
      </c>
      <c r="D510" s="85"/>
      <c r="E510" s="81" t="s">
        <v>1894</v>
      </c>
      <c r="F510" s="81" t="s">
        <v>76</v>
      </c>
      <c r="G510" s="81" t="s">
        <v>69</v>
      </c>
      <c r="H510" s="81" t="s">
        <v>70</v>
      </c>
      <c r="I510" s="81" t="s">
        <v>1895</v>
      </c>
      <c r="J510" s="81" t="s">
        <v>1896</v>
      </c>
      <c r="K510" s="81"/>
      <c r="L510" s="52" t="str">
        <f>HYPERLINK("https://zibs.nl/wiki/Infuus-v3.2(2017NL)#LijnStatusCodelijst","LijnStatusCodelijst")</f>
        <v>LijnStatusCodelijst</v>
      </c>
      <c r="M510" s="81"/>
      <c r="N510" s="53"/>
      <c r="O510" s="54"/>
    </row>
    <row r="511" spans="1:15" ht="25.5" x14ac:dyDescent="0.25">
      <c r="A511" s="78" t="s">
        <v>1874</v>
      </c>
      <c r="B511" t="s">
        <v>1875</v>
      </c>
      <c r="C511" s="85" t="s">
        <v>1897</v>
      </c>
      <c r="D511" s="85"/>
      <c r="E511" s="81" t="s">
        <v>1898</v>
      </c>
      <c r="F511" s="81" t="s">
        <v>76</v>
      </c>
      <c r="G511" s="81" t="s">
        <v>69</v>
      </c>
      <c r="H511" s="81" t="s">
        <v>70</v>
      </c>
      <c r="I511" s="81" t="s">
        <v>1899</v>
      </c>
      <c r="J511" s="81" t="s">
        <v>1900</v>
      </c>
      <c r="K511" s="81"/>
      <c r="L511" s="52" t="str">
        <f>HYPERLINK("https://zibs.nl/wiki/Infuus-v3.2(2017NL)#LumenLocatieCodelijst","LumenLocatieCodelijst")</f>
        <v>LumenLocatieCodelijst</v>
      </c>
      <c r="M511" s="81"/>
      <c r="N511" s="53"/>
      <c r="O511" s="54"/>
    </row>
    <row r="512" spans="1:15" ht="38.25" x14ac:dyDescent="0.25">
      <c r="A512" s="78" t="s">
        <v>1874</v>
      </c>
      <c r="B512" t="s">
        <v>1875</v>
      </c>
      <c r="C512" s="85" t="s">
        <v>1901</v>
      </c>
      <c r="D512" s="85"/>
      <c r="E512" s="81" t="s">
        <v>1902</v>
      </c>
      <c r="F512" s="81"/>
      <c r="G512" s="81" t="s">
        <v>69</v>
      </c>
      <c r="H512" s="81" t="s">
        <v>110</v>
      </c>
      <c r="I512" s="81" t="s">
        <v>1903</v>
      </c>
      <c r="J512" s="81" t="s">
        <v>1904</v>
      </c>
      <c r="K512" s="81"/>
      <c r="L512" s="62" t="s">
        <v>842</v>
      </c>
      <c r="M512" s="81"/>
      <c r="N512" s="53"/>
      <c r="O512" s="54"/>
    </row>
    <row r="513" spans="1:15" ht="51" x14ac:dyDescent="0.25">
      <c r="A513" s="78" t="s">
        <v>1874</v>
      </c>
      <c r="B513" t="s">
        <v>1875</v>
      </c>
      <c r="C513" s="86" t="s">
        <v>1905</v>
      </c>
      <c r="D513" s="86"/>
      <c r="E513" s="84" t="s">
        <v>1906</v>
      </c>
      <c r="F513" s="84"/>
      <c r="G513" s="84" t="s">
        <v>158</v>
      </c>
      <c r="H513" s="84" t="s">
        <v>83</v>
      </c>
      <c r="I513" s="84" t="s">
        <v>1907</v>
      </c>
      <c r="J513" s="84" t="s">
        <v>1908</v>
      </c>
      <c r="K513" s="84"/>
      <c r="L513" s="52" t="str">
        <f>HYPERLINK("https://zibs.nl/wiki/Infuus-v3.2(2017NL)#","")</f>
        <v/>
      </c>
      <c r="M513" s="84"/>
      <c r="N513" s="53"/>
      <c r="O513" s="54"/>
    </row>
    <row r="514" spans="1:15" ht="38.25" x14ac:dyDescent="0.25">
      <c r="A514" s="78" t="s">
        <v>1874</v>
      </c>
      <c r="B514" t="s">
        <v>1875</v>
      </c>
      <c r="C514" s="85" t="s">
        <v>1909</v>
      </c>
      <c r="D514" s="85"/>
      <c r="E514" s="81" t="s">
        <v>1910</v>
      </c>
      <c r="F514" s="81"/>
      <c r="G514" s="81" t="s">
        <v>77</v>
      </c>
      <c r="H514" s="81" t="s">
        <v>110</v>
      </c>
      <c r="I514" s="81" t="s">
        <v>1911</v>
      </c>
      <c r="J514" s="81" t="s">
        <v>1912</v>
      </c>
      <c r="K514" s="81" t="s">
        <v>1913</v>
      </c>
      <c r="L514" s="62" t="s">
        <v>842</v>
      </c>
      <c r="M514" s="81"/>
      <c r="N514" s="53"/>
      <c r="O514" s="54"/>
    </row>
    <row r="515" spans="1:15" ht="38.25" x14ac:dyDescent="0.25">
      <c r="A515" s="78" t="s">
        <v>1874</v>
      </c>
      <c r="B515" t="s">
        <v>1875</v>
      </c>
      <c r="C515" s="85" t="s">
        <v>1914</v>
      </c>
      <c r="D515" s="85"/>
      <c r="E515" s="81" t="s">
        <v>1915</v>
      </c>
      <c r="F515" s="81"/>
      <c r="G515" s="81" t="s">
        <v>158</v>
      </c>
      <c r="H515" s="81" t="s">
        <v>110</v>
      </c>
      <c r="I515" s="81" t="s">
        <v>1916</v>
      </c>
      <c r="J515" s="81" t="s">
        <v>1917</v>
      </c>
      <c r="K515" s="81" t="s">
        <v>1918</v>
      </c>
      <c r="L515" s="62" t="s">
        <v>488</v>
      </c>
      <c r="M515" s="81"/>
      <c r="N515" s="53"/>
      <c r="O515" s="54"/>
    </row>
    <row r="516" spans="1:15" ht="38.25" x14ac:dyDescent="0.25">
      <c r="A516" s="78" t="s">
        <v>1874</v>
      </c>
      <c r="B516" t="s">
        <v>1875</v>
      </c>
      <c r="C516" s="89" t="s">
        <v>1919</v>
      </c>
      <c r="D516" s="89"/>
      <c r="E516" s="81" t="s">
        <v>1920</v>
      </c>
      <c r="F516" s="81" t="s">
        <v>68</v>
      </c>
      <c r="G516" s="81" t="s">
        <v>69</v>
      </c>
      <c r="H516" s="81" t="s">
        <v>70</v>
      </c>
      <c r="I516" s="81" t="s">
        <v>1921</v>
      </c>
      <c r="J516" s="81" t="s">
        <v>1922</v>
      </c>
      <c r="K516" s="81" t="s">
        <v>73</v>
      </c>
      <c r="L516" s="52" t="str">
        <f>HYPERLINK("https://zibs.nl/wiki/Infuus-v3.2(2017NL)#","")</f>
        <v/>
      </c>
      <c r="M516" s="81"/>
      <c r="N516" s="53"/>
      <c r="O516" s="54"/>
    </row>
    <row r="517" spans="1:15" ht="25.5" x14ac:dyDescent="0.25">
      <c r="A517" s="78" t="s">
        <v>1923</v>
      </c>
      <c r="B517" t="s">
        <v>1924</v>
      </c>
      <c r="C517" s="78" t="s">
        <v>1923</v>
      </c>
      <c r="D517" s="78"/>
      <c r="E517" s="79" t="s">
        <v>1925</v>
      </c>
      <c r="F517" s="79"/>
      <c r="G517" s="79"/>
      <c r="H517" s="79" t="s">
        <v>62</v>
      </c>
      <c r="I517" s="79" t="s">
        <v>1926</v>
      </c>
      <c r="J517" s="79" t="s">
        <v>1927</v>
      </c>
      <c r="K517" s="79"/>
      <c r="L517" s="52" t="str">
        <f>HYPERLINK("https://zibs.nl/wiki/Levensovertuiging-v3.1(2017NL)#","")</f>
        <v/>
      </c>
      <c r="M517" s="79"/>
      <c r="N517" s="53"/>
      <c r="O517" s="54"/>
    </row>
    <row r="518" spans="1:15" ht="51" x14ac:dyDescent="0.25">
      <c r="A518" s="78" t="s">
        <v>1923</v>
      </c>
      <c r="B518" t="s">
        <v>1924</v>
      </c>
      <c r="C518" s="85" t="s">
        <v>1928</v>
      </c>
      <c r="D518" s="85"/>
      <c r="E518" s="81" t="s">
        <v>1929</v>
      </c>
      <c r="F518" s="81" t="s">
        <v>76</v>
      </c>
      <c r="G518" s="81" t="s">
        <v>77</v>
      </c>
      <c r="H518" s="81" t="s">
        <v>70</v>
      </c>
      <c r="I518" s="81" t="s">
        <v>1930</v>
      </c>
      <c r="J518" s="81" t="s">
        <v>1931</v>
      </c>
      <c r="K518" s="81" t="s">
        <v>1932</v>
      </c>
      <c r="L518" s="52" t="str">
        <f>HYPERLINK("https://zibs.nl/wiki/Levensovertuiging-v3.1(2017NL)#LevensovertuigingCodelijst","LevensovertuigingCodelijst")</f>
        <v>LevensovertuigingCodelijst</v>
      </c>
      <c r="M518" s="81"/>
      <c r="N518" s="53"/>
      <c r="O518" s="54"/>
    </row>
    <row r="519" spans="1:15" ht="25.5" x14ac:dyDescent="0.25">
      <c r="A519" s="78" t="s">
        <v>1933</v>
      </c>
      <c r="B519" t="s">
        <v>1934</v>
      </c>
      <c r="C519" s="78" t="s">
        <v>1933</v>
      </c>
      <c r="D519" s="78"/>
      <c r="E519" s="79" t="s">
        <v>1935</v>
      </c>
      <c r="F519" s="79"/>
      <c r="G519" s="79"/>
      <c r="H519" s="79" t="s">
        <v>62</v>
      </c>
      <c r="I519" s="79" t="s">
        <v>1936</v>
      </c>
      <c r="J519" s="79" t="s">
        <v>1937</v>
      </c>
      <c r="K519" s="79"/>
      <c r="L519" s="52" t="str">
        <f>HYPERLINK("https://zibs.nl/wiki/Lichaamstemperatuur-v3.1(2017NL)#","")</f>
        <v/>
      </c>
      <c r="M519" s="79"/>
      <c r="N519" s="53"/>
      <c r="O519" s="54"/>
    </row>
    <row r="520" spans="1:15" ht="25.5" x14ac:dyDescent="0.25">
      <c r="A520" s="78" t="s">
        <v>1933</v>
      </c>
      <c r="B520" t="s">
        <v>1934</v>
      </c>
      <c r="C520" s="85" t="s">
        <v>1938</v>
      </c>
      <c r="D520" s="85"/>
      <c r="E520" s="81" t="s">
        <v>1939</v>
      </c>
      <c r="F520" s="81" t="s">
        <v>97</v>
      </c>
      <c r="G520" s="81" t="s">
        <v>77</v>
      </c>
      <c r="H520" s="81" t="s">
        <v>70</v>
      </c>
      <c r="I520" s="81" t="s">
        <v>1940</v>
      </c>
      <c r="J520" s="81" t="s">
        <v>1941</v>
      </c>
      <c r="K520" s="81" t="s">
        <v>1942</v>
      </c>
      <c r="L520" s="52" t="str">
        <f>HYPERLINK("https://zibs.nl/wiki/Lichaamstemperatuur-v3.1(2017NL)#","")</f>
        <v/>
      </c>
      <c r="M520" s="81"/>
      <c r="N520" s="53"/>
      <c r="O520" s="54"/>
    </row>
    <row r="521" spans="1:15" ht="25.5" x14ac:dyDescent="0.25">
      <c r="A521" s="78" t="s">
        <v>1933</v>
      </c>
      <c r="B521" t="s">
        <v>1934</v>
      </c>
      <c r="C521" s="85" t="s">
        <v>1943</v>
      </c>
      <c r="D521" s="85"/>
      <c r="E521" s="81" t="s">
        <v>1944</v>
      </c>
      <c r="F521" s="81" t="s">
        <v>88</v>
      </c>
      <c r="G521" s="81" t="s">
        <v>77</v>
      </c>
      <c r="H521" s="81" t="s">
        <v>70</v>
      </c>
      <c r="I521" s="81" t="s">
        <v>1945</v>
      </c>
      <c r="J521" s="81" t="s">
        <v>1946</v>
      </c>
      <c r="K521" s="81"/>
      <c r="L521" s="52" t="str">
        <f>HYPERLINK("https://zibs.nl/wiki/Lichaamstemperatuur-v3.1(2017NL)#","")</f>
        <v/>
      </c>
      <c r="M521" s="81"/>
      <c r="N521" s="53"/>
      <c r="O521" s="54"/>
    </row>
    <row r="522" spans="1:15" ht="25.5" x14ac:dyDescent="0.25">
      <c r="A522" s="78" t="s">
        <v>1933</v>
      </c>
      <c r="B522" t="s">
        <v>1934</v>
      </c>
      <c r="C522" s="85" t="s">
        <v>66</v>
      </c>
      <c r="D522" s="85"/>
      <c r="E522" s="81" t="s">
        <v>67</v>
      </c>
      <c r="F522" s="81" t="s">
        <v>68</v>
      </c>
      <c r="G522" s="81" t="s">
        <v>69</v>
      </c>
      <c r="H522" s="81" t="s">
        <v>70</v>
      </c>
      <c r="I522" s="81" t="s">
        <v>1947</v>
      </c>
      <c r="J522" s="81" t="s">
        <v>1948</v>
      </c>
      <c r="K522" s="81"/>
      <c r="L522" s="52" t="str">
        <f>HYPERLINK("https://zibs.nl/wiki/Lichaamstemperatuur-v3.1(2017NL)#","")</f>
        <v/>
      </c>
      <c r="M522" s="81"/>
      <c r="N522" s="53"/>
      <c r="O522" s="54"/>
    </row>
    <row r="523" spans="1:15" ht="25.5" x14ac:dyDescent="0.25">
      <c r="A523" s="78" t="s">
        <v>1933</v>
      </c>
      <c r="B523" t="s">
        <v>1934</v>
      </c>
      <c r="C523" s="85" t="s">
        <v>1949</v>
      </c>
      <c r="D523" s="85"/>
      <c r="E523" s="81" t="s">
        <v>1950</v>
      </c>
      <c r="F523" s="81" t="s">
        <v>76</v>
      </c>
      <c r="G523" s="81" t="s">
        <v>69</v>
      </c>
      <c r="H523" s="81" t="s">
        <v>70</v>
      </c>
      <c r="I523" s="81" t="s">
        <v>1951</v>
      </c>
      <c r="J523" s="81" t="s">
        <v>1952</v>
      </c>
      <c r="K523" s="81"/>
      <c r="L523" s="52" t="str">
        <f>HYPERLINK("https://zibs.nl/wiki/Lichaamstemperatuur-v3.1(2017NL)#TemperatuurTypeCodelijst","TemperatuurTypeCodelijst")</f>
        <v>TemperatuurTypeCodelijst</v>
      </c>
      <c r="M523" s="81"/>
      <c r="N523" s="53"/>
      <c r="O523" s="54"/>
    </row>
    <row r="524" spans="1:15" ht="38.25" x14ac:dyDescent="0.25">
      <c r="A524" s="78" t="s">
        <v>1953</v>
      </c>
      <c r="B524" t="s">
        <v>1954</v>
      </c>
      <c r="C524" s="78" t="s">
        <v>1953</v>
      </c>
      <c r="D524" s="78"/>
      <c r="E524" s="79" t="s">
        <v>839</v>
      </c>
      <c r="F524" s="79"/>
      <c r="G524" s="79"/>
      <c r="H524" s="79" t="s">
        <v>62</v>
      </c>
      <c r="I524" s="79" t="s">
        <v>1955</v>
      </c>
      <c r="J524" s="79" t="s">
        <v>1956</v>
      </c>
      <c r="K524" s="79" t="s">
        <v>1957</v>
      </c>
      <c r="L524" s="52" t="str">
        <f>HYPERLINK("https://zibs.nl/wiki/MedicatieToediening2-v1.0.1(2017NL)#","")</f>
        <v/>
      </c>
      <c r="M524" s="79"/>
      <c r="N524" s="53"/>
      <c r="O524" s="54"/>
    </row>
    <row r="525" spans="1:15" ht="89.25" x14ac:dyDescent="0.25">
      <c r="A525" s="78" t="s">
        <v>1953</v>
      </c>
      <c r="B525" t="s">
        <v>1954</v>
      </c>
      <c r="C525" s="85" t="s">
        <v>1958</v>
      </c>
      <c r="D525" s="85"/>
      <c r="E525" s="81" t="s">
        <v>1959</v>
      </c>
      <c r="F525" s="81"/>
      <c r="G525" s="81" t="s">
        <v>77</v>
      </c>
      <c r="H525" s="81" t="s">
        <v>110</v>
      </c>
      <c r="I525" s="81" t="s">
        <v>1960</v>
      </c>
      <c r="J525" s="81" t="s">
        <v>1961</v>
      </c>
      <c r="K525" s="81"/>
      <c r="L525" s="62" t="s">
        <v>700</v>
      </c>
      <c r="M525" s="81"/>
      <c r="N525" s="53"/>
      <c r="O525" s="54"/>
    </row>
    <row r="526" spans="1:15" ht="38.25" x14ac:dyDescent="0.25">
      <c r="A526" s="78" t="s">
        <v>1953</v>
      </c>
      <c r="B526" t="s">
        <v>1954</v>
      </c>
      <c r="C526" s="85" t="s">
        <v>1962</v>
      </c>
      <c r="D526" s="85"/>
      <c r="E526" s="81" t="s">
        <v>1963</v>
      </c>
      <c r="F526" s="81"/>
      <c r="G526" s="81" t="s">
        <v>69</v>
      </c>
      <c r="H526" s="81" t="s">
        <v>110</v>
      </c>
      <c r="I526" s="81" t="s">
        <v>1964</v>
      </c>
      <c r="J526" s="81" t="s">
        <v>278</v>
      </c>
      <c r="K526" s="81"/>
      <c r="L526" s="62" t="s">
        <v>1965</v>
      </c>
      <c r="M526" s="81"/>
      <c r="N526" s="53"/>
      <c r="O526" s="54"/>
    </row>
    <row r="527" spans="1:15" ht="38.25" x14ac:dyDescent="0.25">
      <c r="A527" s="78" t="s">
        <v>1953</v>
      </c>
      <c r="B527" t="s">
        <v>1954</v>
      </c>
      <c r="C527" s="85" t="s">
        <v>1966</v>
      </c>
      <c r="D527" s="85"/>
      <c r="E527" s="81" t="s">
        <v>1967</v>
      </c>
      <c r="F527" s="81" t="s">
        <v>88</v>
      </c>
      <c r="G527" s="81" t="s">
        <v>77</v>
      </c>
      <c r="H527" s="81" t="s">
        <v>70</v>
      </c>
      <c r="I527" s="81" t="s">
        <v>1968</v>
      </c>
      <c r="J527" s="81" t="s">
        <v>1969</v>
      </c>
      <c r="K527" s="81"/>
      <c r="L527" s="52" t="str">
        <f>HYPERLINK("https://zibs.nl/wiki/MedicatieToediening2-v1.0.1(2017NL)#","")</f>
        <v/>
      </c>
      <c r="M527" s="81"/>
      <c r="N527" s="53"/>
      <c r="O527" s="54"/>
    </row>
    <row r="528" spans="1:15" ht="38.25" x14ac:dyDescent="0.25">
      <c r="A528" s="78" t="s">
        <v>1953</v>
      </c>
      <c r="B528" t="s">
        <v>1954</v>
      </c>
      <c r="C528" s="85" t="s">
        <v>1970</v>
      </c>
      <c r="D528" s="85"/>
      <c r="E528" s="81" t="s">
        <v>1971</v>
      </c>
      <c r="F528" s="81" t="s">
        <v>88</v>
      </c>
      <c r="G528" s="81" t="s">
        <v>69</v>
      </c>
      <c r="H528" s="81" t="s">
        <v>70</v>
      </c>
      <c r="I528" s="81" t="s">
        <v>1972</v>
      </c>
      <c r="J528" s="81" t="s">
        <v>1973</v>
      </c>
      <c r="K528" s="81"/>
      <c r="L528" s="52" t="str">
        <f>HYPERLINK("https://zibs.nl/wiki/MedicatieToediening2-v1.0.1(2017NL)#","")</f>
        <v/>
      </c>
      <c r="M528" s="81"/>
      <c r="N528" s="53"/>
      <c r="O528" s="54"/>
    </row>
    <row r="529" spans="1:15" ht="38.25" x14ac:dyDescent="0.25">
      <c r="A529" s="78" t="s">
        <v>1953</v>
      </c>
      <c r="B529" t="s">
        <v>1954</v>
      </c>
      <c r="C529" s="85" t="s">
        <v>1974</v>
      </c>
      <c r="D529" s="85"/>
      <c r="E529" s="81" t="s">
        <v>1975</v>
      </c>
      <c r="F529" s="81" t="s">
        <v>97</v>
      </c>
      <c r="G529" s="81" t="s">
        <v>77</v>
      </c>
      <c r="H529" s="81" t="s">
        <v>70</v>
      </c>
      <c r="I529" s="81" t="s">
        <v>1976</v>
      </c>
      <c r="J529" s="81" t="s">
        <v>1977</v>
      </c>
      <c r="K529" s="81"/>
      <c r="L529" s="52" t="str">
        <f>HYPERLINK("https://zibs.nl/wiki/MedicatieToediening2-v1.0.1(2017NL)#","")</f>
        <v/>
      </c>
      <c r="M529" s="81"/>
      <c r="N529" s="53"/>
      <c r="O529" s="54"/>
    </row>
    <row r="530" spans="1:15" ht="38.25" x14ac:dyDescent="0.25">
      <c r="A530" s="78" t="s">
        <v>1953</v>
      </c>
      <c r="B530" t="s">
        <v>1954</v>
      </c>
      <c r="C530" s="85" t="s">
        <v>1978</v>
      </c>
      <c r="D530" s="85"/>
      <c r="E530" s="81" t="s">
        <v>1979</v>
      </c>
      <c r="F530" s="81" t="s">
        <v>197</v>
      </c>
      <c r="G530" s="81" t="s">
        <v>69</v>
      </c>
      <c r="H530" s="81" t="s">
        <v>70</v>
      </c>
      <c r="I530" s="81" t="s">
        <v>1980</v>
      </c>
      <c r="J530" s="81" t="s">
        <v>1981</v>
      </c>
      <c r="K530" s="81"/>
      <c r="L530" s="52" t="str">
        <f>HYPERLINK("https://zibs.nl/wiki/MedicatieToediening2-v1.0.1(2017NL)#","")</f>
        <v/>
      </c>
      <c r="M530" s="81"/>
      <c r="N530" s="53"/>
      <c r="O530" s="54"/>
    </row>
    <row r="531" spans="1:15" ht="38.25" x14ac:dyDescent="0.25">
      <c r="A531" s="78" t="s">
        <v>1953</v>
      </c>
      <c r="B531" t="s">
        <v>1954</v>
      </c>
      <c r="C531" s="85" t="s">
        <v>457</v>
      </c>
      <c r="D531" s="85"/>
      <c r="E531" s="81" t="s">
        <v>458</v>
      </c>
      <c r="F531" s="81" t="s">
        <v>76</v>
      </c>
      <c r="G531" s="81" t="s">
        <v>77</v>
      </c>
      <c r="H531" s="81" t="s">
        <v>70</v>
      </c>
      <c r="I531" s="81" t="s">
        <v>1982</v>
      </c>
      <c r="J531" s="81" t="s">
        <v>1983</v>
      </c>
      <c r="K531" s="81" t="s">
        <v>461</v>
      </c>
      <c r="L531" s="52" t="str">
        <f>HYPERLINK("https://zibs.nl/wiki/MedicatieToediening2-v1.0.1(2017NL)#MedicatieToedieningToedieningswegCodelijst","MedicatieToedieningToedieningswegCodelijst")</f>
        <v>MedicatieToedieningToedieningswegCodelijst</v>
      </c>
      <c r="M531" s="81"/>
      <c r="N531" s="53"/>
      <c r="O531" s="54"/>
    </row>
    <row r="532" spans="1:15" ht="38.25" x14ac:dyDescent="0.25">
      <c r="A532" s="78" t="s">
        <v>1953</v>
      </c>
      <c r="B532" t="s">
        <v>1954</v>
      </c>
      <c r="C532" s="85" t="s">
        <v>1984</v>
      </c>
      <c r="D532" s="85"/>
      <c r="E532" s="81" t="s">
        <v>1985</v>
      </c>
      <c r="F532" s="81" t="s">
        <v>197</v>
      </c>
      <c r="G532" s="81" t="s">
        <v>69</v>
      </c>
      <c r="H532" s="81" t="s">
        <v>70</v>
      </c>
      <c r="I532" s="81" t="s">
        <v>1986</v>
      </c>
      <c r="J532" s="81" t="s">
        <v>1987</v>
      </c>
      <c r="K532" s="81"/>
      <c r="L532" s="52" t="str">
        <f>HYPERLINK("https://zibs.nl/wiki/MedicatieToediening2-v1.0.1(2017NL)#","")</f>
        <v/>
      </c>
      <c r="M532" s="81"/>
      <c r="N532" s="53"/>
      <c r="O532" s="54"/>
    </row>
    <row r="533" spans="1:15" ht="38.25" x14ac:dyDescent="0.25">
      <c r="A533" s="78" t="s">
        <v>1953</v>
      </c>
      <c r="B533" t="s">
        <v>1954</v>
      </c>
      <c r="C533" s="85" t="s">
        <v>676</v>
      </c>
      <c r="D533" s="85"/>
      <c r="E533" s="81" t="s">
        <v>678</v>
      </c>
      <c r="F533" s="81"/>
      <c r="G533" s="81" t="s">
        <v>109</v>
      </c>
      <c r="H533" s="81" t="s">
        <v>399</v>
      </c>
      <c r="I533" s="81" t="s">
        <v>1988</v>
      </c>
      <c r="J533" s="81" t="s">
        <v>1989</v>
      </c>
      <c r="K533" s="81"/>
      <c r="L533" s="62" t="s">
        <v>993</v>
      </c>
      <c r="M533" s="81"/>
      <c r="N533" s="53"/>
      <c r="O533" s="54"/>
    </row>
    <row r="534" spans="1:15" ht="38.25" x14ac:dyDescent="0.25">
      <c r="A534" s="78" t="s">
        <v>1953</v>
      </c>
      <c r="B534" t="s">
        <v>1954</v>
      </c>
      <c r="C534" s="85" t="s">
        <v>966</v>
      </c>
      <c r="D534" s="85"/>
      <c r="E534" s="81" t="s">
        <v>968</v>
      </c>
      <c r="F534" s="81"/>
      <c r="G534" s="81" t="s">
        <v>109</v>
      </c>
      <c r="H534" s="81" t="s">
        <v>399</v>
      </c>
      <c r="I534" s="81" t="s">
        <v>1990</v>
      </c>
      <c r="J534" s="81" t="s">
        <v>1991</v>
      </c>
      <c r="K534" s="81"/>
      <c r="L534" s="62" t="s">
        <v>1992</v>
      </c>
      <c r="M534" s="81"/>
      <c r="N534" s="53"/>
      <c r="O534" s="54"/>
    </row>
    <row r="535" spans="1:15" ht="38.25" x14ac:dyDescent="0.25">
      <c r="A535" s="78" t="s">
        <v>1953</v>
      </c>
      <c r="B535" t="s">
        <v>1954</v>
      </c>
      <c r="C535" s="90" t="s">
        <v>1993</v>
      </c>
      <c r="D535" s="90"/>
      <c r="E535" s="84" t="s">
        <v>1994</v>
      </c>
      <c r="F535" s="84"/>
      <c r="G535" s="84" t="s">
        <v>69</v>
      </c>
      <c r="H535" s="84" t="s">
        <v>83</v>
      </c>
      <c r="I535" s="84" t="s">
        <v>1995</v>
      </c>
      <c r="J535" s="84" t="s">
        <v>278</v>
      </c>
      <c r="K535" s="84"/>
      <c r="L535" s="52" t="str">
        <f>HYPERLINK("https://zibs.nl/wiki/MedicatieToediening2-v1.0.1(2017NL)#","")</f>
        <v/>
      </c>
      <c r="M535" s="84"/>
      <c r="N535" s="53"/>
      <c r="O535" s="54"/>
    </row>
    <row r="536" spans="1:15" ht="38.25" x14ac:dyDescent="0.25">
      <c r="A536" s="78" t="s">
        <v>1953</v>
      </c>
      <c r="B536" t="s">
        <v>1954</v>
      </c>
      <c r="C536" s="90" t="s">
        <v>1996</v>
      </c>
      <c r="D536" s="90"/>
      <c r="E536" s="84" t="s">
        <v>1997</v>
      </c>
      <c r="F536" s="84"/>
      <c r="G536" s="84" t="s">
        <v>69</v>
      </c>
      <c r="H536" s="84" t="s">
        <v>83</v>
      </c>
      <c r="I536" s="84" t="s">
        <v>1998</v>
      </c>
      <c r="J536" s="84" t="s">
        <v>1999</v>
      </c>
      <c r="K536" s="84"/>
      <c r="L536" s="52" t="str">
        <f>HYPERLINK("https://zibs.nl/wiki/MedicatieToediening2-v1.0.1(2017NL)#","")</f>
        <v/>
      </c>
      <c r="M536" s="84"/>
      <c r="N536" s="53"/>
      <c r="O536" s="54"/>
    </row>
    <row r="537" spans="1:15" ht="38.25" x14ac:dyDescent="0.25">
      <c r="A537" s="78" t="s">
        <v>1953</v>
      </c>
      <c r="B537" t="s">
        <v>1954</v>
      </c>
      <c r="C537" s="89" t="s">
        <v>2000</v>
      </c>
      <c r="D537" s="89"/>
      <c r="E537" s="81" t="s">
        <v>863</v>
      </c>
      <c r="F537" s="81"/>
      <c r="G537" s="81" t="s">
        <v>109</v>
      </c>
      <c r="H537" s="81" t="s">
        <v>399</v>
      </c>
      <c r="I537" s="81" t="s">
        <v>2001</v>
      </c>
      <c r="J537" s="81" t="s">
        <v>2002</v>
      </c>
      <c r="K537" s="81"/>
      <c r="L537" s="62" t="s">
        <v>2003</v>
      </c>
      <c r="M537" s="81"/>
      <c r="N537" s="53"/>
      <c r="O537" s="54"/>
    </row>
    <row r="538" spans="1:15" ht="38.25" x14ac:dyDescent="0.25">
      <c r="A538" s="78" t="s">
        <v>1953</v>
      </c>
      <c r="B538" t="s">
        <v>1954</v>
      </c>
      <c r="C538" s="89" t="s">
        <v>812</v>
      </c>
      <c r="D538" s="89"/>
      <c r="E538" s="81" t="s">
        <v>813</v>
      </c>
      <c r="F538" s="81"/>
      <c r="G538" s="81" t="s">
        <v>109</v>
      </c>
      <c r="H538" s="81" t="s">
        <v>399</v>
      </c>
      <c r="I538" s="81" t="s">
        <v>2004</v>
      </c>
      <c r="J538" s="81" t="s">
        <v>2005</v>
      </c>
      <c r="K538" s="81"/>
      <c r="L538" s="62" t="s">
        <v>2006</v>
      </c>
      <c r="M538" s="81"/>
      <c r="N538" s="53"/>
      <c r="O538" s="54"/>
    </row>
    <row r="539" spans="1:15" ht="38.25" x14ac:dyDescent="0.25">
      <c r="A539" s="78" t="s">
        <v>1953</v>
      </c>
      <c r="B539" t="s">
        <v>1954</v>
      </c>
      <c r="C539" s="89" t="s">
        <v>1855</v>
      </c>
      <c r="D539" s="89"/>
      <c r="E539" s="81" t="s">
        <v>1856</v>
      </c>
      <c r="F539" s="81"/>
      <c r="G539" s="81" t="s">
        <v>109</v>
      </c>
      <c r="H539" s="81" t="s">
        <v>399</v>
      </c>
      <c r="I539" s="81" t="s">
        <v>2007</v>
      </c>
      <c r="J539" s="81" t="s">
        <v>2008</v>
      </c>
      <c r="K539" s="81"/>
      <c r="L539" s="62" t="s">
        <v>1109</v>
      </c>
      <c r="M539" s="81"/>
      <c r="N539" s="53"/>
      <c r="O539" s="54"/>
    </row>
    <row r="540" spans="1:15" ht="51" x14ac:dyDescent="0.25">
      <c r="A540" s="78" t="s">
        <v>1953</v>
      </c>
      <c r="B540" t="s">
        <v>1954</v>
      </c>
      <c r="C540" s="89" t="s">
        <v>2009</v>
      </c>
      <c r="D540" s="89"/>
      <c r="E540" s="81" t="s">
        <v>2010</v>
      </c>
      <c r="F540" s="81" t="s">
        <v>76</v>
      </c>
      <c r="G540" s="81" t="s">
        <v>69</v>
      </c>
      <c r="H540" s="81" t="s">
        <v>70</v>
      </c>
      <c r="I540" s="81" t="s">
        <v>2011</v>
      </c>
      <c r="J540" s="81" t="s">
        <v>2012</v>
      </c>
      <c r="K540" s="81"/>
      <c r="L540" s="52" t="str">
        <f>HYPERLINK("https://zibs.nl/wiki/MedicatieToediening2-v1.0.1(2017NL)#MedicatieToedieningRedenVanAfwijkenCodelijst","MedicatieToedieningRedenVanAfwijkenCodelijst")</f>
        <v>MedicatieToedieningRedenVanAfwijkenCodelijst</v>
      </c>
      <c r="M540" s="81"/>
      <c r="N540" s="53"/>
      <c r="O540" s="54"/>
    </row>
    <row r="541" spans="1:15" ht="165.75" x14ac:dyDescent="0.25">
      <c r="A541" s="78" t="s">
        <v>1953</v>
      </c>
      <c r="B541" t="s">
        <v>1954</v>
      </c>
      <c r="C541" s="89" t="s">
        <v>2013</v>
      </c>
      <c r="D541" s="89"/>
      <c r="E541" s="81" t="s">
        <v>2014</v>
      </c>
      <c r="F541" s="81" t="s">
        <v>76</v>
      </c>
      <c r="G541" s="81" t="s">
        <v>77</v>
      </c>
      <c r="H541" s="81" t="s">
        <v>70</v>
      </c>
      <c r="I541" s="81" t="s">
        <v>2015</v>
      </c>
      <c r="J541" s="81" t="s">
        <v>2016</v>
      </c>
      <c r="K541" s="81"/>
      <c r="L541" s="52" t="str">
        <f>HYPERLINK("https://zibs.nl/wiki/MedicatieToediening2-v1.0.1(2017NL)#MedicatieToedieningStatusCodelijst","MedicatieToedieningStatusCodelijst")</f>
        <v>MedicatieToedieningStatusCodelijst</v>
      </c>
      <c r="M541" s="81"/>
      <c r="N541" s="53"/>
      <c r="O541" s="54"/>
    </row>
    <row r="542" spans="1:15" ht="38.25" x14ac:dyDescent="0.25">
      <c r="A542" s="78" t="s">
        <v>1953</v>
      </c>
      <c r="B542" t="s">
        <v>1954</v>
      </c>
      <c r="C542" s="89" t="s">
        <v>66</v>
      </c>
      <c r="D542" s="89"/>
      <c r="E542" s="81" t="s">
        <v>67</v>
      </c>
      <c r="F542" s="81" t="s">
        <v>68</v>
      </c>
      <c r="G542" s="81" t="s">
        <v>69</v>
      </c>
      <c r="H542" s="81" t="s">
        <v>70</v>
      </c>
      <c r="I542" s="81" t="s">
        <v>2017</v>
      </c>
      <c r="J542" s="81" t="s">
        <v>2018</v>
      </c>
      <c r="K542" s="81" t="s">
        <v>73</v>
      </c>
      <c r="L542" s="52" t="str">
        <f>HYPERLINK("https://zibs.nl/wiki/MedicatieToediening2-v1.0.1(2017NL)#","")</f>
        <v/>
      </c>
      <c r="M542" s="81"/>
      <c r="N542" s="53"/>
      <c r="O542" s="54"/>
    </row>
    <row r="543" spans="1:15" ht="38.25" x14ac:dyDescent="0.25">
      <c r="A543" s="78" t="s">
        <v>2019</v>
      </c>
      <c r="B543" t="s">
        <v>2020</v>
      </c>
      <c r="C543" s="78" t="s">
        <v>2019</v>
      </c>
      <c r="D543" s="78"/>
      <c r="E543" s="79" t="s">
        <v>2021</v>
      </c>
      <c r="F543" s="79"/>
      <c r="G543" s="79"/>
      <c r="H543" s="79" t="s">
        <v>62</v>
      </c>
      <c r="I543" s="79" t="s">
        <v>2022</v>
      </c>
      <c r="J543" s="79" t="s">
        <v>2023</v>
      </c>
      <c r="K543" s="79"/>
      <c r="L543" s="52" t="str">
        <f>HYPERLINK("https://zibs.nl/wiki/Medicatieverstrekking-v2.0(2017NL)#","")</f>
        <v/>
      </c>
      <c r="M543" s="79"/>
      <c r="N543" s="53"/>
      <c r="O543" s="54"/>
    </row>
    <row r="544" spans="1:15" ht="38.25" x14ac:dyDescent="0.25">
      <c r="A544" s="78" t="s">
        <v>2019</v>
      </c>
      <c r="B544" t="s">
        <v>2020</v>
      </c>
      <c r="C544" s="85" t="s">
        <v>971</v>
      </c>
      <c r="D544" s="85"/>
      <c r="E544" s="81" t="s">
        <v>972</v>
      </c>
      <c r="F544" s="81"/>
      <c r="G544" s="81" t="s">
        <v>69</v>
      </c>
      <c r="H544" s="81" t="s">
        <v>399</v>
      </c>
      <c r="I544" s="81" t="s">
        <v>2024</v>
      </c>
      <c r="J544" s="81" t="s">
        <v>2025</v>
      </c>
      <c r="K544" s="81"/>
      <c r="L544" s="62" t="s">
        <v>2026</v>
      </c>
      <c r="M544" s="81"/>
      <c r="N544" s="53"/>
      <c r="O544" s="54"/>
    </row>
    <row r="545" spans="1:15" ht="38.25" x14ac:dyDescent="0.25">
      <c r="A545" s="78" t="s">
        <v>2019</v>
      </c>
      <c r="B545" t="s">
        <v>2020</v>
      </c>
      <c r="C545" s="85" t="s">
        <v>2027</v>
      </c>
      <c r="D545" s="85"/>
      <c r="E545" s="81" t="s">
        <v>2028</v>
      </c>
      <c r="F545" s="81"/>
      <c r="G545" s="81" t="s">
        <v>69</v>
      </c>
      <c r="H545" s="81" t="s">
        <v>399</v>
      </c>
      <c r="I545" s="81" t="s">
        <v>2029</v>
      </c>
      <c r="J545" s="81" t="s">
        <v>2030</v>
      </c>
      <c r="K545" s="81"/>
      <c r="L545" s="62" t="s">
        <v>2031</v>
      </c>
      <c r="M545" s="81"/>
      <c r="N545" s="53"/>
      <c r="O545" s="54"/>
    </row>
    <row r="546" spans="1:15" ht="38.25" x14ac:dyDescent="0.25">
      <c r="A546" s="78" t="s">
        <v>2019</v>
      </c>
      <c r="B546" t="s">
        <v>2020</v>
      </c>
      <c r="C546" s="85" t="s">
        <v>2032</v>
      </c>
      <c r="D546" s="85"/>
      <c r="E546" s="81" t="s">
        <v>2033</v>
      </c>
      <c r="F546" s="81"/>
      <c r="G546" s="81" t="s">
        <v>77</v>
      </c>
      <c r="H546" s="81" t="s">
        <v>110</v>
      </c>
      <c r="I546" s="81" t="s">
        <v>2034</v>
      </c>
      <c r="J546" s="81" t="s">
        <v>2035</v>
      </c>
      <c r="K546" s="81"/>
      <c r="L546" s="62" t="s">
        <v>700</v>
      </c>
      <c r="M546" s="81"/>
      <c r="N546" s="53"/>
      <c r="O546" s="54"/>
    </row>
    <row r="547" spans="1:15" ht="38.25" x14ac:dyDescent="0.25">
      <c r="A547" s="78" t="s">
        <v>2019</v>
      </c>
      <c r="B547" t="s">
        <v>2020</v>
      </c>
      <c r="C547" s="85" t="s">
        <v>2036</v>
      </c>
      <c r="D547" s="85"/>
      <c r="E547" s="81" t="s">
        <v>2037</v>
      </c>
      <c r="F547" s="81" t="s">
        <v>88</v>
      </c>
      <c r="G547" s="81" t="s">
        <v>69</v>
      </c>
      <c r="H547" s="81" t="s">
        <v>70</v>
      </c>
      <c r="I547" s="81" t="s">
        <v>2038</v>
      </c>
      <c r="J547" s="81" t="s">
        <v>2039</v>
      </c>
      <c r="K547" s="81"/>
      <c r="L547" s="52" t="str">
        <f>HYPERLINK("https://zibs.nl/wiki/Medicatieverstrekking-v2.0(2017NL)#","")</f>
        <v/>
      </c>
      <c r="M547" s="81"/>
      <c r="N547" s="53"/>
      <c r="O547" s="54"/>
    </row>
    <row r="548" spans="1:15" ht="38.25" x14ac:dyDescent="0.25">
      <c r="A548" s="78" t="s">
        <v>2019</v>
      </c>
      <c r="B548" t="s">
        <v>2020</v>
      </c>
      <c r="C548" s="85" t="s">
        <v>2040</v>
      </c>
      <c r="D548" s="85"/>
      <c r="E548" s="81" t="s">
        <v>2041</v>
      </c>
      <c r="F548" s="81" t="s">
        <v>88</v>
      </c>
      <c r="G548" s="81" t="s">
        <v>69</v>
      </c>
      <c r="H548" s="81" t="s">
        <v>70</v>
      </c>
      <c r="I548" s="81" t="s">
        <v>2042</v>
      </c>
      <c r="J548" s="81" t="s">
        <v>2043</v>
      </c>
      <c r="K548" s="81"/>
      <c r="L548" s="52" t="str">
        <f>HYPERLINK("https://zibs.nl/wiki/Medicatieverstrekking-v2.0(2017NL)#","")</f>
        <v/>
      </c>
      <c r="M548" s="81"/>
      <c r="N548" s="53"/>
      <c r="O548" s="54"/>
    </row>
    <row r="549" spans="1:15" ht="38.25" x14ac:dyDescent="0.25">
      <c r="A549" s="78" t="s">
        <v>2019</v>
      </c>
      <c r="B549" t="s">
        <v>2020</v>
      </c>
      <c r="C549" s="85" t="s">
        <v>2044</v>
      </c>
      <c r="D549" s="85"/>
      <c r="E549" s="81" t="s">
        <v>2045</v>
      </c>
      <c r="F549" s="81" t="s">
        <v>76</v>
      </c>
      <c r="G549" s="81" t="s">
        <v>69</v>
      </c>
      <c r="H549" s="81" t="s">
        <v>70</v>
      </c>
      <c r="I549" s="81" t="s">
        <v>2046</v>
      </c>
      <c r="J549" s="81" t="s">
        <v>2044</v>
      </c>
      <c r="K549" s="81"/>
      <c r="L549" s="52" t="str">
        <f>HYPERLINK("https://zibs.nl/wiki/Medicatieverstrekking-v2.0(2017NL)#MedicatieverstrekkingDistributievormCodelijst","MedicatieverstrekkingDistributievormCodelijst")</f>
        <v>MedicatieverstrekkingDistributievormCodelijst</v>
      </c>
      <c r="M549" s="81"/>
      <c r="N549" s="53"/>
      <c r="O549" s="54"/>
    </row>
    <row r="550" spans="1:15" ht="38.25" x14ac:dyDescent="0.25">
      <c r="A550" s="78" t="s">
        <v>2019</v>
      </c>
      <c r="B550" t="s">
        <v>2020</v>
      </c>
      <c r="C550" s="85" t="s">
        <v>2047</v>
      </c>
      <c r="D550" s="85"/>
      <c r="E550" s="81" t="s">
        <v>2048</v>
      </c>
      <c r="F550" s="81" t="s">
        <v>97</v>
      </c>
      <c r="G550" s="81" t="s">
        <v>69</v>
      </c>
      <c r="H550" s="81" t="s">
        <v>70</v>
      </c>
      <c r="I550" s="81" t="s">
        <v>2049</v>
      </c>
      <c r="J550" s="81" t="s">
        <v>2050</v>
      </c>
      <c r="K550" s="81"/>
      <c r="L550" s="52" t="str">
        <f>HYPERLINK("https://zibs.nl/wiki/Medicatieverstrekking-v2.0(2017NL)#","")</f>
        <v/>
      </c>
      <c r="M550" s="81"/>
      <c r="N550" s="53"/>
      <c r="O550" s="54"/>
    </row>
    <row r="551" spans="1:15" ht="51" x14ac:dyDescent="0.25">
      <c r="A551" s="78" t="s">
        <v>2019</v>
      </c>
      <c r="B551" t="s">
        <v>2020</v>
      </c>
      <c r="C551" s="85" t="s">
        <v>2051</v>
      </c>
      <c r="D551" s="85"/>
      <c r="E551" s="81" t="s">
        <v>2052</v>
      </c>
      <c r="F551" s="81" t="s">
        <v>76</v>
      </c>
      <c r="G551" s="81" t="s">
        <v>158</v>
      </c>
      <c r="H551" s="81" t="s">
        <v>70</v>
      </c>
      <c r="I551" s="81" t="s">
        <v>2053</v>
      </c>
      <c r="J551" s="81" t="s">
        <v>2054</v>
      </c>
      <c r="K551" s="81"/>
      <c r="L551" s="52" t="str">
        <f>HYPERLINK("https://zibs.nl/wiki/Medicatieverstrekking-v2.0(2017NL)#MedicatieverstrekkingAanvullendeInformatieCodelijst","MedicatieverstrekkingAanvullendeInformatieCodelijst")</f>
        <v>MedicatieverstrekkingAanvullendeInformatieCodelijst</v>
      </c>
      <c r="M551" s="81"/>
      <c r="N551" s="53"/>
      <c r="O551" s="54"/>
    </row>
    <row r="552" spans="1:15" ht="38.25" x14ac:dyDescent="0.25">
      <c r="A552" s="78" t="s">
        <v>2019</v>
      </c>
      <c r="B552" t="s">
        <v>2020</v>
      </c>
      <c r="C552" s="85" t="s">
        <v>2055</v>
      </c>
      <c r="D552" s="85"/>
      <c r="E552" s="81" t="s">
        <v>2056</v>
      </c>
      <c r="F552" s="81" t="s">
        <v>97</v>
      </c>
      <c r="G552" s="81" t="s">
        <v>69</v>
      </c>
      <c r="H552" s="81" t="s">
        <v>70</v>
      </c>
      <c r="I552" s="81" t="s">
        <v>2057</v>
      </c>
      <c r="J552" s="81" t="s">
        <v>278</v>
      </c>
      <c r="K552" s="81"/>
      <c r="L552" s="52" t="str">
        <f>HYPERLINK("https://zibs.nl/wiki/Medicatieverstrekking-v2.0(2017NL)#","")</f>
        <v/>
      </c>
      <c r="M552" s="81"/>
      <c r="N552" s="53"/>
      <c r="O552" s="54"/>
    </row>
    <row r="553" spans="1:15" ht="38.25" x14ac:dyDescent="0.25">
      <c r="A553" s="78" t="s">
        <v>2019</v>
      </c>
      <c r="B553" t="s">
        <v>2020</v>
      </c>
      <c r="C553" s="85" t="s">
        <v>2058</v>
      </c>
      <c r="D553" s="85"/>
      <c r="E553" s="81" t="s">
        <v>2059</v>
      </c>
      <c r="F553" s="81" t="s">
        <v>68</v>
      </c>
      <c r="G553" s="81" t="s">
        <v>69</v>
      </c>
      <c r="H553" s="81" t="s">
        <v>70</v>
      </c>
      <c r="I553" s="81" t="s">
        <v>2060</v>
      </c>
      <c r="J553" s="81" t="s">
        <v>2058</v>
      </c>
      <c r="K553" s="81"/>
      <c r="L553" s="52" t="str">
        <f>HYPERLINK("https://zibs.nl/wiki/Medicatieverstrekking-v2.0(2017NL)#","")</f>
        <v/>
      </c>
      <c r="M553" s="81"/>
      <c r="N553" s="53"/>
      <c r="O553" s="54"/>
    </row>
    <row r="554" spans="1:15" ht="38.25" x14ac:dyDescent="0.25">
      <c r="A554" s="78" t="s">
        <v>2019</v>
      </c>
      <c r="B554" t="s">
        <v>2020</v>
      </c>
      <c r="C554" s="89" t="s">
        <v>66</v>
      </c>
      <c r="D554" s="89"/>
      <c r="E554" s="81" t="s">
        <v>67</v>
      </c>
      <c r="F554" s="81" t="s">
        <v>68</v>
      </c>
      <c r="G554" s="81" t="s">
        <v>69</v>
      </c>
      <c r="H554" s="81" t="s">
        <v>70</v>
      </c>
      <c r="I554" s="81" t="s">
        <v>2061</v>
      </c>
      <c r="J554" s="81" t="s">
        <v>2062</v>
      </c>
      <c r="K554" s="81"/>
      <c r="L554" s="52" t="str">
        <f>HYPERLINK("https://zibs.nl/wiki/Medicatieverstrekking-v2.0(2017NL)#","")</f>
        <v/>
      </c>
      <c r="M554" s="81"/>
      <c r="N554" s="53"/>
      <c r="O554" s="54"/>
    </row>
    <row r="555" spans="1:15" ht="25.5" x14ac:dyDescent="0.25">
      <c r="A555" s="78" t="s">
        <v>2063</v>
      </c>
      <c r="B555" t="s">
        <v>2064</v>
      </c>
      <c r="C555" s="78" t="s">
        <v>2063</v>
      </c>
      <c r="D555" s="78"/>
      <c r="E555" s="79" t="s">
        <v>1321</v>
      </c>
      <c r="F555" s="79"/>
      <c r="G555" s="79"/>
      <c r="H555" s="79" t="s">
        <v>62</v>
      </c>
      <c r="I555" s="79" t="s">
        <v>2065</v>
      </c>
      <c r="J555" s="79" t="s">
        <v>2066</v>
      </c>
      <c r="K555" s="79" t="s">
        <v>2067</v>
      </c>
      <c r="L555" s="52" t="str">
        <f>HYPERLINK("https://zibs.nl/wiki/Mobiliteit-v3.1(2017NL)#","")</f>
        <v/>
      </c>
      <c r="M555" s="79"/>
      <c r="N555" s="53"/>
      <c r="O555" s="54"/>
    </row>
    <row r="556" spans="1:15" ht="38.25" x14ac:dyDescent="0.25">
      <c r="A556" s="78" t="s">
        <v>2063</v>
      </c>
      <c r="B556" t="s">
        <v>2064</v>
      </c>
      <c r="C556" s="85" t="s">
        <v>2068</v>
      </c>
      <c r="D556" s="85"/>
      <c r="E556" s="81" t="s">
        <v>2069</v>
      </c>
      <c r="F556" s="81" t="s">
        <v>474</v>
      </c>
      <c r="G556" s="81" t="s">
        <v>69</v>
      </c>
      <c r="H556" s="81" t="s">
        <v>70</v>
      </c>
      <c r="I556" s="81" t="s">
        <v>2070</v>
      </c>
      <c r="J556" s="81" t="s">
        <v>2071</v>
      </c>
      <c r="K556" s="81" t="s">
        <v>2072</v>
      </c>
      <c r="L556" s="52" t="str">
        <f>HYPERLINK("https://zibs.nl/wiki/Mobiliteit-v3.1(2017NL)#LopenCodelijst","LopenCodelijst")</f>
        <v>LopenCodelijst</v>
      </c>
      <c r="M556" s="81"/>
      <c r="N556" s="53"/>
      <c r="O556" s="54"/>
    </row>
    <row r="557" spans="1:15" ht="25.5" x14ac:dyDescent="0.25">
      <c r="A557" s="78" t="s">
        <v>2063</v>
      </c>
      <c r="B557" t="s">
        <v>2064</v>
      </c>
      <c r="C557" s="85" t="s">
        <v>2073</v>
      </c>
      <c r="D557" s="85"/>
      <c r="E557" s="81" t="s">
        <v>2074</v>
      </c>
      <c r="F557" s="81" t="s">
        <v>474</v>
      </c>
      <c r="G557" s="81" t="s">
        <v>69</v>
      </c>
      <c r="H557" s="81" t="s">
        <v>70</v>
      </c>
      <c r="I557" s="81" t="s">
        <v>2075</v>
      </c>
      <c r="J557" s="81" t="s">
        <v>2076</v>
      </c>
      <c r="K557" s="81" t="s">
        <v>2077</v>
      </c>
      <c r="L557" s="52" t="str">
        <f>HYPERLINK("https://zibs.nl/wiki/Mobiliteit-v3.1(2017NL)#TraplopenCodelijst","TraplopenCodelijst")</f>
        <v>TraplopenCodelijst</v>
      </c>
      <c r="M557" s="81"/>
      <c r="N557" s="53"/>
      <c r="O557" s="54"/>
    </row>
    <row r="558" spans="1:15" ht="38.25" x14ac:dyDescent="0.25">
      <c r="A558" s="78" t="s">
        <v>2063</v>
      </c>
      <c r="B558" t="s">
        <v>2064</v>
      </c>
      <c r="C558" s="85" t="s">
        <v>2078</v>
      </c>
      <c r="D558" s="85"/>
      <c r="E558" s="81" t="s">
        <v>2079</v>
      </c>
      <c r="F558" s="81" t="s">
        <v>474</v>
      </c>
      <c r="G558" s="81" t="s">
        <v>69</v>
      </c>
      <c r="H558" s="81" t="s">
        <v>70</v>
      </c>
      <c r="I558" s="81" t="s">
        <v>2080</v>
      </c>
      <c r="J558" s="81" t="s">
        <v>2081</v>
      </c>
      <c r="K558" s="81" t="s">
        <v>2082</v>
      </c>
      <c r="L558" s="52" t="str">
        <f>HYPERLINK("https://zibs.nl/wiki/Mobiliteit-v3.1(2017NL)#HoudingVeranderenCodelijst","HoudingVeranderenCodelijst")</f>
        <v>HoudingVeranderenCodelijst</v>
      </c>
      <c r="M558" s="81"/>
      <c r="N558" s="53"/>
      <c r="O558" s="54"/>
    </row>
    <row r="559" spans="1:15" ht="38.25" x14ac:dyDescent="0.25">
      <c r="A559" s="78" t="s">
        <v>2063</v>
      </c>
      <c r="B559" t="s">
        <v>2064</v>
      </c>
      <c r="C559" s="85" t="s">
        <v>2083</v>
      </c>
      <c r="D559" s="85"/>
      <c r="E559" s="81" t="s">
        <v>2084</v>
      </c>
      <c r="F559" s="81" t="s">
        <v>474</v>
      </c>
      <c r="G559" s="81" t="s">
        <v>69</v>
      </c>
      <c r="H559" s="81" t="s">
        <v>70</v>
      </c>
      <c r="I559" s="81" t="s">
        <v>2085</v>
      </c>
      <c r="J559" s="81" t="s">
        <v>2086</v>
      </c>
      <c r="K559" s="81" t="s">
        <v>2087</v>
      </c>
      <c r="L559" s="52" t="str">
        <f>HYPERLINK("https://zibs.nl/wiki/Mobiliteit-v3.1(2017NL)#HoudingHandhavenCodelijst","HoudingHandhavenCodelijst")</f>
        <v>HoudingHandhavenCodelijst</v>
      </c>
      <c r="M559" s="81"/>
      <c r="N559" s="53"/>
      <c r="O559" s="54"/>
    </row>
    <row r="560" spans="1:15" ht="38.25" x14ac:dyDescent="0.25">
      <c r="A560" s="78" t="s">
        <v>2063</v>
      </c>
      <c r="B560" t="s">
        <v>2064</v>
      </c>
      <c r="C560" s="85" t="s">
        <v>2088</v>
      </c>
      <c r="D560" s="85"/>
      <c r="E560" s="81" t="s">
        <v>2089</v>
      </c>
      <c r="F560" s="81" t="s">
        <v>474</v>
      </c>
      <c r="G560" s="81" t="s">
        <v>69</v>
      </c>
      <c r="H560" s="81" t="s">
        <v>70</v>
      </c>
      <c r="I560" s="81" t="s">
        <v>2090</v>
      </c>
      <c r="J560" s="81" t="s">
        <v>2091</v>
      </c>
      <c r="K560" s="81" t="s">
        <v>2092</v>
      </c>
      <c r="L560" s="52" t="str">
        <f>HYPERLINK("https://zibs.nl/wiki/Mobiliteit-v3.1(2017NL)#UitvoerenTransferCodelijst","UitvoerenTransferCodelijst")</f>
        <v>UitvoerenTransferCodelijst</v>
      </c>
      <c r="M560" s="81"/>
      <c r="N560" s="53"/>
      <c r="O560" s="54"/>
    </row>
    <row r="561" spans="1:15" ht="25.5" x14ac:dyDescent="0.25">
      <c r="A561" s="78" t="s">
        <v>2063</v>
      </c>
      <c r="B561" t="s">
        <v>2064</v>
      </c>
      <c r="C561" s="85" t="s">
        <v>773</v>
      </c>
      <c r="D561" s="85"/>
      <c r="E561" s="81" t="s">
        <v>775</v>
      </c>
      <c r="F561" s="81"/>
      <c r="G561" s="81" t="s">
        <v>158</v>
      </c>
      <c r="H561" s="81" t="s">
        <v>110</v>
      </c>
      <c r="I561" s="81" t="s">
        <v>2093</v>
      </c>
      <c r="J561" s="81" t="s">
        <v>2094</v>
      </c>
      <c r="K561" s="81" t="s">
        <v>2095</v>
      </c>
      <c r="L561" s="62" t="s">
        <v>488</v>
      </c>
      <c r="M561" s="81"/>
      <c r="N561" s="53"/>
      <c r="O561" s="54"/>
    </row>
    <row r="562" spans="1:15" ht="25.5" x14ac:dyDescent="0.25">
      <c r="A562" s="78" t="s">
        <v>2063</v>
      </c>
      <c r="B562" t="s">
        <v>2064</v>
      </c>
      <c r="C562" s="85" t="s">
        <v>66</v>
      </c>
      <c r="D562" s="85"/>
      <c r="E562" s="81" t="s">
        <v>67</v>
      </c>
      <c r="F562" s="81" t="s">
        <v>68</v>
      </c>
      <c r="G562" s="81" t="s">
        <v>69</v>
      </c>
      <c r="H562" s="81" t="s">
        <v>70</v>
      </c>
      <c r="I562" s="81" t="s">
        <v>2096</v>
      </c>
      <c r="J562" s="81" t="s">
        <v>2097</v>
      </c>
      <c r="K562" s="81" t="s">
        <v>73</v>
      </c>
      <c r="L562" s="52" t="str">
        <f>HYPERLINK("https://zibs.nl/wiki/Mobiliteit-v3.1(2017NL)#","")</f>
        <v/>
      </c>
      <c r="M562" s="81"/>
      <c r="N562" s="53"/>
      <c r="O562" s="54"/>
    </row>
    <row r="563" spans="1:15" ht="51" x14ac:dyDescent="0.25">
      <c r="A563" s="78" t="s">
        <v>2098</v>
      </c>
      <c r="B563" t="s">
        <v>2099</v>
      </c>
      <c r="C563" s="78" t="s">
        <v>2098</v>
      </c>
      <c r="D563" s="78"/>
      <c r="E563" s="79" t="s">
        <v>2100</v>
      </c>
      <c r="F563" s="79"/>
      <c r="G563" s="79"/>
      <c r="H563" s="79" t="s">
        <v>62</v>
      </c>
      <c r="I563" s="79" t="s">
        <v>2101</v>
      </c>
      <c r="J563" s="79" t="s">
        <v>2102</v>
      </c>
      <c r="K563" s="79" t="s">
        <v>2103</v>
      </c>
      <c r="L563" s="52" t="str">
        <f>HYPERLINK("https://zibs.nl/wiki/MUSTScore-v3.0(2017NL)#","")</f>
        <v/>
      </c>
      <c r="M563" s="79"/>
      <c r="N563" s="53"/>
      <c r="O563" s="54"/>
    </row>
    <row r="564" spans="1:15" ht="15" x14ac:dyDescent="0.25">
      <c r="A564" s="78" t="s">
        <v>2098</v>
      </c>
      <c r="B564" t="s">
        <v>2099</v>
      </c>
      <c r="C564" s="85" t="s">
        <v>2104</v>
      </c>
      <c r="D564" s="85"/>
      <c r="E564" s="81" t="s">
        <v>2105</v>
      </c>
      <c r="F564" s="81" t="s">
        <v>474</v>
      </c>
      <c r="G564" s="81" t="s">
        <v>69</v>
      </c>
      <c r="H564" s="81" t="s">
        <v>70</v>
      </c>
      <c r="I564" s="81" t="s">
        <v>2106</v>
      </c>
      <c r="J564" s="81" t="s">
        <v>278</v>
      </c>
      <c r="K564" s="81"/>
      <c r="L564" s="52" t="str">
        <f>HYPERLINK("https://zibs.nl/wiki/MUSTScore-v3.0(2017NL)#BMIScoreCodelijst","BMIScoreCodelijst")</f>
        <v>BMIScoreCodelijst</v>
      </c>
      <c r="M564" s="81"/>
      <c r="N564" s="53"/>
      <c r="O564" s="54"/>
    </row>
    <row r="565" spans="1:15" ht="15" x14ac:dyDescent="0.25">
      <c r="A565" s="78" t="s">
        <v>2098</v>
      </c>
      <c r="B565" t="s">
        <v>2099</v>
      </c>
      <c r="C565" s="85" t="s">
        <v>2107</v>
      </c>
      <c r="D565" s="85"/>
      <c r="E565" s="81" t="s">
        <v>2108</v>
      </c>
      <c r="F565" s="81" t="s">
        <v>474</v>
      </c>
      <c r="G565" s="81" t="s">
        <v>69</v>
      </c>
      <c r="H565" s="81" t="s">
        <v>70</v>
      </c>
      <c r="I565" s="81" t="s">
        <v>2109</v>
      </c>
      <c r="J565" s="81" t="s">
        <v>2110</v>
      </c>
      <c r="K565" s="81"/>
      <c r="L565" s="52" t="str">
        <f>HYPERLINK("https://zibs.nl/wiki/MUSTScore-v3.0(2017NL)#MUSTGewichtsverliesScoreCodelijst","MUSTGewichtsverliesScoreCodelijst")</f>
        <v>MUSTGewichtsverliesScoreCodelijst</v>
      </c>
      <c r="M565" s="81"/>
      <c r="N565" s="53"/>
      <c r="O565" s="54"/>
    </row>
    <row r="566" spans="1:15" ht="38.25" x14ac:dyDescent="0.25">
      <c r="A566" s="78" t="s">
        <v>2098</v>
      </c>
      <c r="B566" t="s">
        <v>2099</v>
      </c>
      <c r="C566" s="85" t="s">
        <v>2111</v>
      </c>
      <c r="D566" s="85"/>
      <c r="E566" s="81" t="s">
        <v>2112</v>
      </c>
      <c r="F566" s="81" t="s">
        <v>474</v>
      </c>
      <c r="G566" s="81" t="s">
        <v>69</v>
      </c>
      <c r="H566" s="81" t="s">
        <v>70</v>
      </c>
      <c r="I566" s="81" t="s">
        <v>2113</v>
      </c>
      <c r="J566" s="81" t="s">
        <v>2114</v>
      </c>
      <c r="K566" s="81"/>
      <c r="L566" s="52" t="str">
        <f>HYPERLINK("https://zibs.nl/wiki/MUSTScore-v3.0(2017NL)#ZiekteScoreCodelijst","ZiekteScoreCodelijst")</f>
        <v>ZiekteScoreCodelijst</v>
      </c>
      <c r="M566" s="81"/>
      <c r="N566" s="53"/>
      <c r="O566" s="54"/>
    </row>
    <row r="567" spans="1:15" ht="25.5" x14ac:dyDescent="0.25">
      <c r="A567" s="78" t="s">
        <v>2098</v>
      </c>
      <c r="B567" t="s">
        <v>2099</v>
      </c>
      <c r="C567" s="85" t="s">
        <v>1335</v>
      </c>
      <c r="D567" s="85"/>
      <c r="E567" s="81" t="s">
        <v>1336</v>
      </c>
      <c r="F567" s="81" t="s">
        <v>505</v>
      </c>
      <c r="G567" s="81" t="s">
        <v>69</v>
      </c>
      <c r="H567" s="81" t="s">
        <v>341</v>
      </c>
      <c r="I567" s="81" t="s">
        <v>2115</v>
      </c>
      <c r="J567" s="81" t="s">
        <v>2116</v>
      </c>
      <c r="K567" s="81"/>
      <c r="L567" s="52" t="str">
        <f>HYPERLINK("https://zibs.nl/wiki/MUSTScore-v3.0(2017NL)#","")</f>
        <v/>
      </c>
      <c r="M567" s="81" t="s">
        <v>2117</v>
      </c>
      <c r="N567" s="53"/>
      <c r="O567" s="54"/>
    </row>
    <row r="568" spans="1:15" ht="25.5" x14ac:dyDescent="0.25">
      <c r="A568" s="78" t="s">
        <v>2098</v>
      </c>
      <c r="B568" t="s">
        <v>2099</v>
      </c>
      <c r="C568" s="85" t="s">
        <v>2118</v>
      </c>
      <c r="D568" s="85"/>
      <c r="E568" s="81" t="s">
        <v>2119</v>
      </c>
      <c r="F568" s="81" t="s">
        <v>88</v>
      </c>
      <c r="G568" s="81" t="s">
        <v>77</v>
      </c>
      <c r="H568" s="81" t="s">
        <v>70</v>
      </c>
      <c r="I568" s="81" t="s">
        <v>2120</v>
      </c>
      <c r="J568" s="81" t="s">
        <v>2121</v>
      </c>
      <c r="K568" s="81"/>
      <c r="L568" s="52" t="str">
        <f>HYPERLINK("https://zibs.nl/wiki/MUSTScore-v3.0(2017NL)#","")</f>
        <v/>
      </c>
      <c r="M568" s="81"/>
      <c r="N568" s="53"/>
      <c r="O568" s="54"/>
    </row>
    <row r="569" spans="1:15" ht="25.5" x14ac:dyDescent="0.25">
      <c r="A569" s="78" t="s">
        <v>2098</v>
      </c>
      <c r="B569" t="s">
        <v>2099</v>
      </c>
      <c r="C569" s="85" t="s">
        <v>66</v>
      </c>
      <c r="D569" s="85"/>
      <c r="E569" s="81" t="s">
        <v>67</v>
      </c>
      <c r="F569" s="81" t="s">
        <v>68</v>
      </c>
      <c r="G569" s="81" t="s">
        <v>69</v>
      </c>
      <c r="H569" s="81" t="s">
        <v>70</v>
      </c>
      <c r="I569" s="81" t="s">
        <v>2122</v>
      </c>
      <c r="J569" s="81" t="s">
        <v>1446</v>
      </c>
      <c r="K569" s="81" t="s">
        <v>73</v>
      </c>
      <c r="L569" s="52" t="str">
        <f>HYPERLINK("https://zibs.nl/wiki/MUSTScore-v3.0(2017NL)#","")</f>
        <v/>
      </c>
      <c r="M569" s="81"/>
      <c r="N569" s="53"/>
      <c r="O569" s="54"/>
    </row>
    <row r="570" spans="1:15" ht="15" x14ac:dyDescent="0.25">
      <c r="A570" s="78" t="s">
        <v>2123</v>
      </c>
      <c r="B570" t="s">
        <v>2124</v>
      </c>
      <c r="C570" s="78" t="s">
        <v>2123</v>
      </c>
      <c r="D570" s="78"/>
      <c r="E570" s="79" t="s">
        <v>2125</v>
      </c>
      <c r="F570" s="79"/>
      <c r="G570" s="79"/>
      <c r="H570" s="79" t="s">
        <v>62</v>
      </c>
      <c r="I570" s="79" t="s">
        <v>2126</v>
      </c>
      <c r="J570" s="79" t="s">
        <v>2127</v>
      </c>
      <c r="K570" s="79"/>
      <c r="L570" s="52" t="str">
        <f>HYPERLINK("https://zibs.nl/wiki/Nationaliteit-v3.0(2017NL)#","")</f>
        <v/>
      </c>
      <c r="M570" s="79"/>
      <c r="N570" s="53"/>
      <c r="O570" s="54"/>
    </row>
    <row r="571" spans="1:15" ht="25.5" x14ac:dyDescent="0.25">
      <c r="A571" s="78" t="s">
        <v>2123</v>
      </c>
      <c r="B571" t="s">
        <v>2124</v>
      </c>
      <c r="C571" s="85" t="s">
        <v>2128</v>
      </c>
      <c r="D571" s="85"/>
      <c r="E571" s="81" t="s">
        <v>2129</v>
      </c>
      <c r="F571" s="81" t="s">
        <v>76</v>
      </c>
      <c r="G571" s="81" t="s">
        <v>69</v>
      </c>
      <c r="H571" s="81" t="s">
        <v>70</v>
      </c>
      <c r="I571" s="81" t="s">
        <v>2130</v>
      </c>
      <c r="J571" s="81" t="s">
        <v>2131</v>
      </c>
      <c r="K571" s="81" t="s">
        <v>2132</v>
      </c>
      <c r="L571" s="52" t="str">
        <f>HYPERLINK("https://zibs.nl/wiki/Nationaliteit-v3.0(2017NL)#NationaliteitCodelijst","NationaliteitCodelijst")</f>
        <v>NationaliteitCodelijst</v>
      </c>
      <c r="M571" s="81"/>
      <c r="N571" s="53"/>
      <c r="O571" s="54"/>
    </row>
    <row r="572" spans="1:15" ht="25.5" x14ac:dyDescent="0.25">
      <c r="A572" s="78" t="s">
        <v>2133</v>
      </c>
      <c r="B572" t="s">
        <v>2134</v>
      </c>
      <c r="C572" s="78" t="s">
        <v>2133</v>
      </c>
      <c r="D572" s="78"/>
      <c r="E572" s="79" t="s">
        <v>2135</v>
      </c>
      <c r="F572" s="79"/>
      <c r="G572" s="79"/>
      <c r="H572" s="79" t="s">
        <v>62</v>
      </c>
      <c r="I572" s="79" t="s">
        <v>2136</v>
      </c>
      <c r="J572" s="79" t="s">
        <v>2137</v>
      </c>
      <c r="K572" s="79"/>
      <c r="L572" s="52" t="str">
        <f>HYPERLINK("https://zibs.nl/wiki/O2Saturatie-v3.1(2017NL)#","")</f>
        <v/>
      </c>
      <c r="M572" s="79"/>
      <c r="N572" s="53"/>
      <c r="O572" s="54"/>
    </row>
    <row r="573" spans="1:15" ht="51" x14ac:dyDescent="0.25">
      <c r="A573" s="78" t="s">
        <v>2133</v>
      </c>
      <c r="B573" t="s">
        <v>2134</v>
      </c>
      <c r="C573" s="85" t="s">
        <v>2138</v>
      </c>
      <c r="D573" s="85"/>
      <c r="E573" s="81" t="s">
        <v>2139</v>
      </c>
      <c r="F573" s="81" t="s">
        <v>97</v>
      </c>
      <c r="G573" s="81" t="s">
        <v>77</v>
      </c>
      <c r="H573" s="81" t="s">
        <v>70</v>
      </c>
      <c r="I573" s="81" t="s">
        <v>2140</v>
      </c>
      <c r="J573" s="81" t="s">
        <v>2141</v>
      </c>
      <c r="K573" s="81" t="s">
        <v>2142</v>
      </c>
      <c r="L573" s="52" t="str">
        <f>HYPERLINK("https://zibs.nl/wiki/O2Saturatie-v3.1(2017NL)#","")</f>
        <v/>
      </c>
      <c r="M573" s="81"/>
      <c r="N573" s="53"/>
      <c r="O573" s="54"/>
    </row>
    <row r="574" spans="1:15" ht="38.25" x14ac:dyDescent="0.25">
      <c r="A574" s="78" t="s">
        <v>2133</v>
      </c>
      <c r="B574" t="s">
        <v>2134</v>
      </c>
      <c r="C574" s="85" t="s">
        <v>2143</v>
      </c>
      <c r="D574" s="85"/>
      <c r="E574" s="81" t="s">
        <v>2144</v>
      </c>
      <c r="F574" s="81" t="s">
        <v>88</v>
      </c>
      <c r="G574" s="81" t="s">
        <v>77</v>
      </c>
      <c r="H574" s="81" t="s">
        <v>70</v>
      </c>
      <c r="I574" s="81" t="s">
        <v>2145</v>
      </c>
      <c r="J574" s="81" t="s">
        <v>2146</v>
      </c>
      <c r="K574" s="81"/>
      <c r="L574" s="52" t="str">
        <f>HYPERLINK("https://zibs.nl/wiki/O2Saturatie-v3.1(2017NL)#","")</f>
        <v/>
      </c>
      <c r="M574" s="81"/>
      <c r="N574" s="53"/>
      <c r="O574" s="54"/>
    </row>
    <row r="575" spans="1:15" ht="25.5" x14ac:dyDescent="0.25">
      <c r="A575" s="78" t="s">
        <v>2133</v>
      </c>
      <c r="B575" t="s">
        <v>2134</v>
      </c>
      <c r="C575" s="85" t="s">
        <v>66</v>
      </c>
      <c r="D575" s="85"/>
      <c r="E575" s="81" t="s">
        <v>67</v>
      </c>
      <c r="F575" s="81" t="s">
        <v>68</v>
      </c>
      <c r="G575" s="81" t="s">
        <v>69</v>
      </c>
      <c r="H575" s="81" t="s">
        <v>70</v>
      </c>
      <c r="I575" s="81" t="s">
        <v>2147</v>
      </c>
      <c r="J575" s="81" t="s">
        <v>2148</v>
      </c>
      <c r="K575" s="81" t="s">
        <v>73</v>
      </c>
      <c r="L575" s="52" t="str">
        <f>HYPERLINK("https://zibs.nl/wiki/O2Saturatie-v3.1(2017NL)#","")</f>
        <v/>
      </c>
      <c r="M575" s="81"/>
      <c r="N575" s="53"/>
      <c r="O575" s="54"/>
    </row>
    <row r="576" spans="1:15" ht="38.25" x14ac:dyDescent="0.25">
      <c r="A576" s="78" t="s">
        <v>2133</v>
      </c>
      <c r="B576" t="s">
        <v>2134</v>
      </c>
      <c r="C576" s="85" t="s">
        <v>1185</v>
      </c>
      <c r="D576" s="85"/>
      <c r="E576" s="81" t="s">
        <v>1186</v>
      </c>
      <c r="F576" s="81" t="s">
        <v>197</v>
      </c>
      <c r="G576" s="81" t="s">
        <v>69</v>
      </c>
      <c r="H576" s="81" t="s">
        <v>70</v>
      </c>
      <c r="I576" s="81" t="s">
        <v>2149</v>
      </c>
      <c r="J576" s="81" t="s">
        <v>2150</v>
      </c>
      <c r="K576" s="81"/>
      <c r="L576" s="52" t="str">
        <f>HYPERLINK("https://zibs.nl/wiki/O2Saturatie-v3.1(2017NL)#","")</f>
        <v/>
      </c>
      <c r="M576" s="81"/>
      <c r="N576" s="53"/>
      <c r="O576" s="54"/>
    </row>
    <row r="577" spans="1:15" ht="38.25" x14ac:dyDescent="0.25">
      <c r="A577" s="78" t="s">
        <v>2151</v>
      </c>
      <c r="B577" t="s">
        <v>2152</v>
      </c>
      <c r="C577" s="78" t="s">
        <v>2151</v>
      </c>
      <c r="D577" s="78"/>
      <c r="E577" s="79" t="s">
        <v>2153</v>
      </c>
      <c r="F577" s="79"/>
      <c r="G577" s="79"/>
      <c r="H577" s="79" t="s">
        <v>62</v>
      </c>
      <c r="I577" s="79" t="s">
        <v>2154</v>
      </c>
      <c r="J577" s="79" t="s">
        <v>2155</v>
      </c>
      <c r="K577" s="79" t="s">
        <v>2156</v>
      </c>
      <c r="L577" s="52" t="str">
        <f>HYPERLINK("https://zibs.nl/wiki/OntwikkelingKind-v1.1(2017NL)#","")</f>
        <v/>
      </c>
      <c r="M577" s="79"/>
      <c r="N577" s="53"/>
      <c r="O577" s="54"/>
    </row>
    <row r="578" spans="1:15" ht="38.25" x14ac:dyDescent="0.25">
      <c r="A578" s="78" t="s">
        <v>2151</v>
      </c>
      <c r="B578" t="s">
        <v>2152</v>
      </c>
      <c r="C578" s="85" t="s">
        <v>2157</v>
      </c>
      <c r="D578" s="85"/>
      <c r="E578" s="81" t="s">
        <v>2158</v>
      </c>
      <c r="F578" s="81" t="s">
        <v>88</v>
      </c>
      <c r="G578" s="81" t="s">
        <v>77</v>
      </c>
      <c r="H578" s="81" t="s">
        <v>70</v>
      </c>
      <c r="I578" s="81" t="s">
        <v>2159</v>
      </c>
      <c r="J578" s="81" t="s">
        <v>2160</v>
      </c>
      <c r="K578" s="81"/>
      <c r="L578" s="52" t="str">
        <f>HYPERLINK("https://zibs.nl/wiki/OntwikkelingKind-v1.1(2017NL)#","")</f>
        <v/>
      </c>
      <c r="M578" s="81"/>
      <c r="N578" s="53"/>
      <c r="O578" s="54"/>
    </row>
    <row r="579" spans="1:15" ht="38.25" x14ac:dyDescent="0.25">
      <c r="A579" s="78" t="s">
        <v>2151</v>
      </c>
      <c r="B579" t="s">
        <v>2152</v>
      </c>
      <c r="C579" s="85" t="s">
        <v>2161</v>
      </c>
      <c r="D579" s="85"/>
      <c r="E579" s="81" t="s">
        <v>2162</v>
      </c>
      <c r="F579" s="81" t="s">
        <v>76</v>
      </c>
      <c r="G579" s="81" t="s">
        <v>69</v>
      </c>
      <c r="H579" s="81" t="s">
        <v>70</v>
      </c>
      <c r="I579" s="81" t="s">
        <v>2163</v>
      </c>
      <c r="J579" s="81" t="s">
        <v>2164</v>
      </c>
      <c r="K579" s="81" t="s">
        <v>2165</v>
      </c>
      <c r="L579" s="52" t="str">
        <f>HYPERLINK("https://zibs.nl/wiki/OntwikkelingKind-v1.1(2017NL)#ZindelijkheidUrineCodelijst","ZindelijkheidUrineCodelijst")</f>
        <v>ZindelijkheidUrineCodelijst</v>
      </c>
      <c r="M579" s="81"/>
      <c r="N579" s="53"/>
      <c r="O579" s="54"/>
    </row>
    <row r="580" spans="1:15" ht="38.25" x14ac:dyDescent="0.25">
      <c r="A580" s="78" t="s">
        <v>2151</v>
      </c>
      <c r="B580" t="s">
        <v>2152</v>
      </c>
      <c r="C580" s="85" t="s">
        <v>2166</v>
      </c>
      <c r="D580" s="85"/>
      <c r="E580" s="81" t="s">
        <v>2167</v>
      </c>
      <c r="F580" s="81" t="s">
        <v>76</v>
      </c>
      <c r="G580" s="81" t="s">
        <v>69</v>
      </c>
      <c r="H580" s="81" t="s">
        <v>70</v>
      </c>
      <c r="I580" s="81" t="s">
        <v>2168</v>
      </c>
      <c r="J580" s="81" t="s">
        <v>2169</v>
      </c>
      <c r="K580" s="81" t="s">
        <v>2170</v>
      </c>
      <c r="L580" s="52" t="str">
        <f>HYPERLINK("https://zibs.nl/wiki/OntwikkelingKind-v1.1(2017NL)#ZindelijkheidFecesCodelijst","ZindelijkheidFecesCodelijst")</f>
        <v>ZindelijkheidFecesCodelijst</v>
      </c>
      <c r="M580" s="81"/>
      <c r="N580" s="53"/>
      <c r="O580" s="54"/>
    </row>
    <row r="581" spans="1:15" ht="25.5" x14ac:dyDescent="0.25">
      <c r="A581" s="78" t="s">
        <v>2151</v>
      </c>
      <c r="B581" t="s">
        <v>2152</v>
      </c>
      <c r="C581" s="85" t="s">
        <v>2171</v>
      </c>
      <c r="D581" s="85"/>
      <c r="E581" s="81" t="s">
        <v>2172</v>
      </c>
      <c r="F581" s="81" t="s">
        <v>97</v>
      </c>
      <c r="G581" s="81" t="s">
        <v>69</v>
      </c>
      <c r="H581" s="81" t="s">
        <v>70</v>
      </c>
      <c r="I581" s="81" t="s">
        <v>2173</v>
      </c>
      <c r="J581" s="81" t="s">
        <v>2174</v>
      </c>
      <c r="K581" s="81" t="s">
        <v>2175</v>
      </c>
      <c r="L581" s="52" t="str">
        <f>HYPERLINK("https://zibs.nl/wiki/OntwikkelingKind-v1.1(2017NL)#","")</f>
        <v/>
      </c>
      <c r="M581" s="81"/>
      <c r="N581" s="53"/>
      <c r="O581" s="54"/>
    </row>
    <row r="582" spans="1:15" ht="38.25" x14ac:dyDescent="0.25">
      <c r="A582" s="78" t="s">
        <v>2151</v>
      </c>
      <c r="B582" t="s">
        <v>2152</v>
      </c>
      <c r="C582" s="85" t="s">
        <v>2176</v>
      </c>
      <c r="D582" s="85"/>
      <c r="E582" s="81" t="s">
        <v>2177</v>
      </c>
      <c r="F582" s="81" t="s">
        <v>76</v>
      </c>
      <c r="G582" s="81" t="s">
        <v>69</v>
      </c>
      <c r="H582" s="81" t="s">
        <v>70</v>
      </c>
      <c r="I582" s="81" t="s">
        <v>2178</v>
      </c>
      <c r="J582" s="81" t="s">
        <v>2179</v>
      </c>
      <c r="K582" s="81" t="s">
        <v>2180</v>
      </c>
      <c r="L582" s="52" t="str">
        <f>HYPERLINK("https://zibs.nl/wiki/OntwikkelingKind-v1.1(2017NL)#OntwikkelingMotoriekCodelijst","OntwikkelingMotoriekCodelijst")</f>
        <v>OntwikkelingMotoriekCodelijst</v>
      </c>
      <c r="M582" s="81"/>
      <c r="N582" s="53"/>
      <c r="O582" s="54"/>
    </row>
    <row r="583" spans="1:15" ht="38.25" x14ac:dyDescent="0.25">
      <c r="A583" s="78" t="s">
        <v>2151</v>
      </c>
      <c r="B583" t="s">
        <v>2152</v>
      </c>
      <c r="C583" s="85" t="s">
        <v>2181</v>
      </c>
      <c r="D583" s="85"/>
      <c r="E583" s="81" t="s">
        <v>2182</v>
      </c>
      <c r="F583" s="81" t="s">
        <v>76</v>
      </c>
      <c r="G583" s="81" t="s">
        <v>69</v>
      </c>
      <c r="H583" s="81" t="s">
        <v>70</v>
      </c>
      <c r="I583" s="81" t="s">
        <v>2183</v>
      </c>
      <c r="J583" s="81" t="s">
        <v>2184</v>
      </c>
      <c r="K583" s="81" t="s">
        <v>2185</v>
      </c>
      <c r="L583" s="52" t="str">
        <f>HYPERLINK("https://zibs.nl/wiki/OntwikkelingKind-v1.1(2017NL)#OntwikkelingSociaalCodelijst","OntwikkelingSociaalCodelijst")</f>
        <v>OntwikkelingSociaalCodelijst</v>
      </c>
      <c r="M583" s="81"/>
      <c r="N583" s="53"/>
      <c r="O583" s="54"/>
    </row>
    <row r="584" spans="1:15" ht="38.25" x14ac:dyDescent="0.25">
      <c r="A584" s="78" t="s">
        <v>2151</v>
      </c>
      <c r="B584" t="s">
        <v>2152</v>
      </c>
      <c r="C584" s="85" t="s">
        <v>2186</v>
      </c>
      <c r="D584" s="85"/>
      <c r="E584" s="81" t="s">
        <v>2187</v>
      </c>
      <c r="F584" s="81" t="s">
        <v>76</v>
      </c>
      <c r="G584" s="81" t="s">
        <v>69</v>
      </c>
      <c r="H584" s="81" t="s">
        <v>70</v>
      </c>
      <c r="I584" s="81" t="s">
        <v>2188</v>
      </c>
      <c r="J584" s="81" t="s">
        <v>2189</v>
      </c>
      <c r="K584" s="81" t="s">
        <v>2190</v>
      </c>
      <c r="L584" s="52" t="str">
        <f>HYPERLINK("https://zibs.nl/wiki/OntwikkelingKind-v1.1(2017NL)#OntwikkelingTaalCodelijst","OntwikkelingTaalCodelijst")</f>
        <v>OntwikkelingTaalCodelijst</v>
      </c>
      <c r="M584" s="81"/>
      <c r="N584" s="53"/>
      <c r="O584" s="54"/>
    </row>
    <row r="585" spans="1:15" ht="38.25" x14ac:dyDescent="0.25">
      <c r="A585" s="78" t="s">
        <v>2151</v>
      </c>
      <c r="B585" t="s">
        <v>2152</v>
      </c>
      <c r="C585" s="85" t="s">
        <v>2191</v>
      </c>
      <c r="D585" s="85"/>
      <c r="E585" s="81" t="s">
        <v>2192</v>
      </c>
      <c r="F585" s="81" t="s">
        <v>76</v>
      </c>
      <c r="G585" s="81" t="s">
        <v>69</v>
      </c>
      <c r="H585" s="81" t="s">
        <v>70</v>
      </c>
      <c r="I585" s="81" t="s">
        <v>2193</v>
      </c>
      <c r="J585" s="81" t="s">
        <v>2194</v>
      </c>
      <c r="K585" s="81" t="s">
        <v>2195</v>
      </c>
      <c r="L585" s="52" t="str">
        <f>HYPERLINK("https://zibs.nl/wiki/OntwikkelingKind-v1.1(2017NL)#OntwikkelingVerstandelijkCodelijst","OntwikkelingVerstandelijkCodelijst")</f>
        <v>OntwikkelingVerstandelijkCodelijst</v>
      </c>
      <c r="M585" s="81"/>
      <c r="N585" s="53"/>
      <c r="O585" s="54"/>
    </row>
    <row r="586" spans="1:15" ht="25.5" x14ac:dyDescent="0.25">
      <c r="A586" s="78" t="s">
        <v>2151</v>
      </c>
      <c r="B586" t="s">
        <v>2152</v>
      </c>
      <c r="C586" s="85" t="s">
        <v>66</v>
      </c>
      <c r="D586" s="85"/>
      <c r="E586" s="81" t="s">
        <v>67</v>
      </c>
      <c r="F586" s="81" t="s">
        <v>68</v>
      </c>
      <c r="G586" s="81" t="s">
        <v>69</v>
      </c>
      <c r="H586" s="81" t="s">
        <v>70</v>
      </c>
      <c r="I586" s="81" t="s">
        <v>2196</v>
      </c>
      <c r="J586" s="81" t="s">
        <v>2197</v>
      </c>
      <c r="K586" s="81" t="s">
        <v>73</v>
      </c>
      <c r="L586" s="52" t="str">
        <f>HYPERLINK("https://zibs.nl/wiki/OntwikkelingKind-v1.1(2017NL)#","")</f>
        <v/>
      </c>
      <c r="M586" s="81"/>
      <c r="N586" s="53"/>
      <c r="O586" s="54"/>
    </row>
    <row r="587" spans="1:15" ht="15" x14ac:dyDescent="0.25">
      <c r="A587" s="78" t="s">
        <v>2198</v>
      </c>
      <c r="B587" t="s">
        <v>2199</v>
      </c>
      <c r="C587" s="78" t="s">
        <v>2198</v>
      </c>
      <c r="D587" s="78"/>
      <c r="E587" s="79" t="s">
        <v>2200</v>
      </c>
      <c r="F587" s="79"/>
      <c r="G587" s="79"/>
      <c r="H587" s="79" t="s">
        <v>62</v>
      </c>
      <c r="I587" s="79" t="s">
        <v>2201</v>
      </c>
      <c r="J587" s="79" t="s">
        <v>2202</v>
      </c>
      <c r="K587" s="79"/>
      <c r="L587" s="52" t="str">
        <f>HYPERLINK("https://zibs.nl/wiki/Opleiding-v3.1(2017NL)#","")</f>
        <v/>
      </c>
      <c r="M587" s="79"/>
      <c r="N587" s="53"/>
      <c r="O587" s="54"/>
    </row>
    <row r="588" spans="1:15" ht="38.25" x14ac:dyDescent="0.25">
      <c r="A588" s="78" t="s">
        <v>2198</v>
      </c>
      <c r="B588" t="s">
        <v>2199</v>
      </c>
      <c r="C588" s="85" t="s">
        <v>2203</v>
      </c>
      <c r="D588" s="85"/>
      <c r="E588" s="81" t="s">
        <v>2204</v>
      </c>
      <c r="F588" s="81" t="s">
        <v>76</v>
      </c>
      <c r="G588" s="81" t="s">
        <v>69</v>
      </c>
      <c r="H588" s="81" t="s">
        <v>70</v>
      </c>
      <c r="I588" s="81" t="s">
        <v>2205</v>
      </c>
      <c r="J588" s="81" t="s">
        <v>2206</v>
      </c>
      <c r="K588" s="81" t="s">
        <v>2207</v>
      </c>
      <c r="L588" s="52" t="str">
        <f>HYPERLINK("https://zibs.nl/wiki/Opleiding-v3.1(2017NL)#SchooltypeCodelijst","SchooltypeCodelijst")</f>
        <v>SchooltypeCodelijst</v>
      </c>
      <c r="M588" s="81"/>
      <c r="N588" s="53"/>
      <c r="O588" s="54"/>
    </row>
    <row r="589" spans="1:15" ht="25.5" x14ac:dyDescent="0.25">
      <c r="A589" s="78" t="s">
        <v>2198</v>
      </c>
      <c r="B589" t="s">
        <v>2199</v>
      </c>
      <c r="C589" s="85" t="s">
        <v>66</v>
      </c>
      <c r="D589" s="85"/>
      <c r="E589" s="81" t="s">
        <v>67</v>
      </c>
      <c r="F589" s="81" t="s">
        <v>68</v>
      </c>
      <c r="G589" s="81" t="s">
        <v>69</v>
      </c>
      <c r="H589" s="81" t="s">
        <v>70</v>
      </c>
      <c r="I589" s="81" t="s">
        <v>2208</v>
      </c>
      <c r="J589" s="81" t="s">
        <v>2209</v>
      </c>
      <c r="K589" s="81" t="s">
        <v>73</v>
      </c>
      <c r="L589" s="52" t="str">
        <f>HYPERLINK("https://zibs.nl/wiki/Opleiding-v3.1(2017NL)#","")</f>
        <v/>
      </c>
      <c r="M589" s="81"/>
      <c r="N589" s="53"/>
      <c r="O589" s="54"/>
    </row>
    <row r="590" spans="1:15" ht="25.5" x14ac:dyDescent="0.25">
      <c r="A590" s="91" t="s">
        <v>295</v>
      </c>
      <c r="B590" t="s">
        <v>2210</v>
      </c>
      <c r="C590" s="91" t="s">
        <v>295</v>
      </c>
      <c r="D590" s="91"/>
      <c r="E590" s="92" t="s">
        <v>296</v>
      </c>
      <c r="F590" s="92"/>
      <c r="G590" s="92"/>
      <c r="H590" s="92" t="s">
        <v>62</v>
      </c>
      <c r="I590" s="92" t="s">
        <v>2211</v>
      </c>
      <c r="J590" s="92" t="s">
        <v>2212</v>
      </c>
      <c r="K590" s="92"/>
      <c r="L590" s="52" t="str">
        <f>HYPERLINK("https://zibs.nl/wiki/part.Adresgegevens-v1.0(2017NL)#","")</f>
        <v/>
      </c>
      <c r="M590" s="92"/>
      <c r="N590" s="53" t="s">
        <v>106</v>
      </c>
      <c r="O590" s="54"/>
    </row>
    <row r="591" spans="1:15" ht="15" x14ac:dyDescent="0.25">
      <c r="A591" s="91" t="s">
        <v>295</v>
      </c>
      <c r="B591" t="s">
        <v>2210</v>
      </c>
      <c r="C591" s="93" t="s">
        <v>2213</v>
      </c>
      <c r="D591" s="93"/>
      <c r="E591" s="94" t="s">
        <v>2214</v>
      </c>
      <c r="F591" s="94" t="s">
        <v>68</v>
      </c>
      <c r="G591" s="94" t="s">
        <v>69</v>
      </c>
      <c r="H591" s="94" t="s">
        <v>70</v>
      </c>
      <c r="I591" s="94" t="s">
        <v>2215</v>
      </c>
      <c r="J591" s="94" t="s">
        <v>2216</v>
      </c>
      <c r="K591" s="94"/>
      <c r="L591" s="52" t="str">
        <f>HYPERLINK("https://zibs.nl/wiki/part.Adresgegevens-v1.0(2017NL)#","")</f>
        <v/>
      </c>
      <c r="M591" s="94"/>
      <c r="N591" s="53" t="s">
        <v>106</v>
      </c>
      <c r="O591" s="54"/>
    </row>
    <row r="592" spans="1:15" ht="25.5" x14ac:dyDescent="0.25">
      <c r="A592" s="91" t="s">
        <v>295</v>
      </c>
      <c r="B592" t="s">
        <v>2210</v>
      </c>
      <c r="C592" s="93" t="s">
        <v>2217</v>
      </c>
      <c r="D592" s="93"/>
      <c r="E592" s="94" t="s">
        <v>2218</v>
      </c>
      <c r="F592" s="94" t="s">
        <v>68</v>
      </c>
      <c r="G592" s="94" t="s">
        <v>69</v>
      </c>
      <c r="H592" s="94" t="s">
        <v>70</v>
      </c>
      <c r="I592" s="94" t="s">
        <v>2219</v>
      </c>
      <c r="J592" s="94" t="s">
        <v>2220</v>
      </c>
      <c r="K592" s="94"/>
      <c r="L592" s="52" t="str">
        <f>HYPERLINK("https://zibs.nl/wiki/part.Adresgegevens-v1.0(2017NL)#","")</f>
        <v/>
      </c>
      <c r="M592" s="94"/>
      <c r="N592" s="53" t="s">
        <v>106</v>
      </c>
      <c r="O592" s="54"/>
    </row>
    <row r="593" spans="1:15" ht="25.5" x14ac:dyDescent="0.25">
      <c r="A593" s="91" t="s">
        <v>295</v>
      </c>
      <c r="B593" t="s">
        <v>2210</v>
      </c>
      <c r="C593" s="93" t="s">
        <v>2221</v>
      </c>
      <c r="D593" s="93"/>
      <c r="E593" s="94" t="s">
        <v>2222</v>
      </c>
      <c r="F593" s="94" t="s">
        <v>68</v>
      </c>
      <c r="G593" s="94" t="s">
        <v>69</v>
      </c>
      <c r="H593" s="94" t="s">
        <v>70</v>
      </c>
      <c r="I593" s="94" t="s">
        <v>2223</v>
      </c>
      <c r="J593" s="94" t="s">
        <v>2224</v>
      </c>
      <c r="K593" s="94"/>
      <c r="L593" s="52" t="str">
        <f>HYPERLINK("https://zibs.nl/wiki/part.Adresgegevens-v1.0(2017NL)#","")</f>
        <v/>
      </c>
      <c r="M593" s="94"/>
      <c r="N593" s="53" t="s">
        <v>106</v>
      </c>
      <c r="O593" s="54"/>
    </row>
    <row r="594" spans="1:15" ht="25.5" x14ac:dyDescent="0.25">
      <c r="A594" s="91" t="s">
        <v>295</v>
      </c>
      <c r="B594" t="s">
        <v>2210</v>
      </c>
      <c r="C594" s="93" t="s">
        <v>2225</v>
      </c>
      <c r="D594" s="93"/>
      <c r="E594" s="94" t="s">
        <v>2226</v>
      </c>
      <c r="F594" s="94" t="s">
        <v>68</v>
      </c>
      <c r="G594" s="94" t="s">
        <v>69</v>
      </c>
      <c r="H594" s="94" t="s">
        <v>70</v>
      </c>
      <c r="I594" s="94" t="s">
        <v>2227</v>
      </c>
      <c r="J594" s="94" t="s">
        <v>2228</v>
      </c>
      <c r="K594" s="94"/>
      <c r="L594" s="52" t="str">
        <f>HYPERLINK("https://zibs.nl/wiki/part.Adresgegevens-v1.0(2017NL)#","")</f>
        <v/>
      </c>
      <c r="M594" s="94"/>
      <c r="N594" s="53" t="s">
        <v>106</v>
      </c>
      <c r="O594" s="54"/>
    </row>
    <row r="595" spans="1:15" ht="38.25" x14ac:dyDescent="0.25">
      <c r="A595" s="91" t="s">
        <v>295</v>
      </c>
      <c r="B595" t="s">
        <v>2210</v>
      </c>
      <c r="C595" s="93" t="s">
        <v>2229</v>
      </c>
      <c r="D595" s="93"/>
      <c r="E595" s="94" t="s">
        <v>2230</v>
      </c>
      <c r="F595" s="94" t="s">
        <v>76</v>
      </c>
      <c r="G595" s="94" t="s">
        <v>69</v>
      </c>
      <c r="H595" s="94" t="s">
        <v>70</v>
      </c>
      <c r="I595" s="94" t="s">
        <v>2231</v>
      </c>
      <c r="J595" s="94" t="s">
        <v>2232</v>
      </c>
      <c r="K595" s="94"/>
      <c r="L595" s="52" t="str">
        <f>HYPERLINK("https://zibs.nl/wiki/part.Adresgegevens-v1.0(2017NL)#AanduidingBijNummerCodelijst","AanduidingBijNummerCodelijst")</f>
        <v>AanduidingBijNummerCodelijst</v>
      </c>
      <c r="M595" s="94"/>
      <c r="N595" s="53" t="s">
        <v>106</v>
      </c>
      <c r="O595" s="54"/>
    </row>
    <row r="596" spans="1:15" ht="25.5" x14ac:dyDescent="0.25">
      <c r="A596" s="91" t="s">
        <v>295</v>
      </c>
      <c r="B596" t="s">
        <v>2210</v>
      </c>
      <c r="C596" s="93" t="s">
        <v>2233</v>
      </c>
      <c r="D596" s="93"/>
      <c r="E596" s="94" t="s">
        <v>2234</v>
      </c>
      <c r="F596" s="94" t="s">
        <v>68</v>
      </c>
      <c r="G596" s="94" t="s">
        <v>69</v>
      </c>
      <c r="H596" s="94" t="s">
        <v>70</v>
      </c>
      <c r="I596" s="94" t="s">
        <v>2235</v>
      </c>
      <c r="J596" s="94" t="s">
        <v>2236</v>
      </c>
      <c r="K596" s="94"/>
      <c r="L596" s="52" t="str">
        <f>HYPERLINK("https://zibs.nl/wiki/part.Adresgegevens-v1.0(2017NL)#","")</f>
        <v/>
      </c>
      <c r="M596" s="94"/>
      <c r="N596" s="53" t="s">
        <v>106</v>
      </c>
      <c r="O596" s="54"/>
    </row>
    <row r="597" spans="1:15" ht="25.5" x14ac:dyDescent="0.25">
      <c r="A597" s="91" t="s">
        <v>295</v>
      </c>
      <c r="B597" t="s">
        <v>2210</v>
      </c>
      <c r="C597" s="93" t="s">
        <v>2237</v>
      </c>
      <c r="D597" s="93"/>
      <c r="E597" s="94" t="s">
        <v>2238</v>
      </c>
      <c r="F597" s="94" t="s">
        <v>68</v>
      </c>
      <c r="G597" s="94" t="s">
        <v>69</v>
      </c>
      <c r="H597" s="94" t="s">
        <v>70</v>
      </c>
      <c r="I597" s="94" t="s">
        <v>2239</v>
      </c>
      <c r="J597" s="94" t="s">
        <v>2240</v>
      </c>
      <c r="K597" s="94"/>
      <c r="L597" s="52" t="str">
        <f>HYPERLINK("https://zibs.nl/wiki/part.Adresgegevens-v1.0(2017NL)#","")</f>
        <v/>
      </c>
      <c r="M597" s="94"/>
      <c r="N597" s="53" t="s">
        <v>106</v>
      </c>
      <c r="O597" s="54"/>
    </row>
    <row r="598" spans="1:15" ht="25.5" x14ac:dyDescent="0.25">
      <c r="A598" s="91" t="s">
        <v>295</v>
      </c>
      <c r="B598" t="s">
        <v>2210</v>
      </c>
      <c r="C598" s="93" t="s">
        <v>2241</v>
      </c>
      <c r="D598" s="93"/>
      <c r="E598" s="94" t="s">
        <v>2242</v>
      </c>
      <c r="F598" s="94" t="s">
        <v>68</v>
      </c>
      <c r="G598" s="94" t="s">
        <v>69</v>
      </c>
      <c r="H598" s="94" t="s">
        <v>70</v>
      </c>
      <c r="I598" s="94" t="s">
        <v>2243</v>
      </c>
      <c r="J598" s="94" t="s">
        <v>2244</v>
      </c>
      <c r="K598" s="94"/>
      <c r="L598" s="52" t="str">
        <f>HYPERLINK("https://zibs.nl/wiki/part.Adresgegevens-v1.0(2017NL)#","")</f>
        <v/>
      </c>
      <c r="M598" s="94"/>
      <c r="N598" s="53" t="s">
        <v>106</v>
      </c>
      <c r="O598" s="54"/>
    </row>
    <row r="599" spans="1:15" ht="15" x14ac:dyDescent="0.25">
      <c r="A599" s="91" t="s">
        <v>295</v>
      </c>
      <c r="B599" t="s">
        <v>2210</v>
      </c>
      <c r="C599" s="93" t="s">
        <v>2245</v>
      </c>
      <c r="D599" s="93"/>
      <c r="E599" s="94" t="s">
        <v>2246</v>
      </c>
      <c r="F599" s="94" t="s">
        <v>76</v>
      </c>
      <c r="G599" s="94" t="s">
        <v>69</v>
      </c>
      <c r="H599" s="94" t="s">
        <v>70</v>
      </c>
      <c r="I599" s="94" t="s">
        <v>2247</v>
      </c>
      <c r="J599" s="94" t="s">
        <v>2248</v>
      </c>
      <c r="K599" s="94"/>
      <c r="L599" s="52" t="str">
        <f>HYPERLINK("https://zibs.nl/wiki/part.Adresgegevens-v1.0(2017NL)#LandGBACodelijst","LandGBACodelijst")</f>
        <v>LandGBACodelijst</v>
      </c>
      <c r="M599" s="94"/>
      <c r="N599" s="53" t="s">
        <v>106</v>
      </c>
      <c r="O599" s="54"/>
    </row>
    <row r="600" spans="1:15" ht="15" x14ac:dyDescent="0.25">
      <c r="A600" s="91" t="s">
        <v>295</v>
      </c>
      <c r="B600" t="s">
        <v>2210</v>
      </c>
      <c r="C600" s="93"/>
      <c r="D600" s="93"/>
      <c r="E600" s="94"/>
      <c r="F600" s="94"/>
      <c r="G600" s="94"/>
      <c r="H600" s="94"/>
      <c r="I600" s="94"/>
      <c r="J600" s="94"/>
      <c r="K600" s="94"/>
      <c r="L600" s="52" t="str">
        <f>HYPERLINK("https://zibs.nl/wiki/part.Adresgegevens-v1.0(2017NL)#LandISOCodelijst","LandISOCodelijst")</f>
        <v>LandISOCodelijst</v>
      </c>
      <c r="M600" s="94"/>
      <c r="N600" s="53" t="s">
        <v>106</v>
      </c>
      <c r="O600" s="54"/>
    </row>
    <row r="601" spans="1:15" ht="25.5" x14ac:dyDescent="0.25">
      <c r="A601" s="91" t="s">
        <v>295</v>
      </c>
      <c r="B601" t="s">
        <v>2210</v>
      </c>
      <c r="C601" s="95" t="s">
        <v>2249</v>
      </c>
      <c r="D601" s="95"/>
      <c r="E601" s="94" t="s">
        <v>2250</v>
      </c>
      <c r="F601" s="94" t="s">
        <v>68</v>
      </c>
      <c r="G601" s="94" t="s">
        <v>69</v>
      </c>
      <c r="H601" s="94" t="s">
        <v>70</v>
      </c>
      <c r="I601" s="94" t="s">
        <v>2251</v>
      </c>
      <c r="J601" s="94" t="s">
        <v>2252</v>
      </c>
      <c r="K601" s="94"/>
      <c r="L601" s="52" t="str">
        <f>HYPERLINK("https://zibs.nl/wiki/part.Adresgegevens-v1.0(2017NL)#","")</f>
        <v/>
      </c>
      <c r="M601" s="94"/>
      <c r="N601" s="53" t="s">
        <v>106</v>
      </c>
      <c r="O601" s="54"/>
    </row>
    <row r="602" spans="1:15" ht="15" x14ac:dyDescent="0.25">
      <c r="A602" s="91" t="s">
        <v>295</v>
      </c>
      <c r="B602" t="s">
        <v>2210</v>
      </c>
      <c r="C602" s="95" t="s">
        <v>2253</v>
      </c>
      <c r="D602" s="95"/>
      <c r="E602" s="94" t="s">
        <v>2254</v>
      </c>
      <c r="F602" s="94" t="s">
        <v>76</v>
      </c>
      <c r="G602" s="94" t="s">
        <v>77</v>
      </c>
      <c r="H602" s="94" t="s">
        <v>70</v>
      </c>
      <c r="I602" s="94" t="s">
        <v>2255</v>
      </c>
      <c r="J602" s="94" t="s">
        <v>2256</v>
      </c>
      <c r="K602" s="94"/>
      <c r="L602" s="52" t="str">
        <f>HYPERLINK("https://zibs.nl/wiki/part.Adresgegevens-v1.0(2017NL)#AdresSoortCodelijst","AdresSoortCodelijst")</f>
        <v>AdresSoortCodelijst</v>
      </c>
      <c r="M602" s="94"/>
      <c r="N602" s="53" t="s">
        <v>106</v>
      </c>
      <c r="O602" s="54"/>
    </row>
    <row r="603" spans="1:15" ht="15" x14ac:dyDescent="0.25">
      <c r="A603" s="91" t="s">
        <v>2257</v>
      </c>
      <c r="B603" t="s">
        <v>2258</v>
      </c>
      <c r="C603" s="91" t="s">
        <v>2257</v>
      </c>
      <c r="D603" s="91"/>
      <c r="E603" s="92" t="s">
        <v>2259</v>
      </c>
      <c r="F603" s="92"/>
      <c r="G603" s="92"/>
      <c r="H603" s="92" t="s">
        <v>62</v>
      </c>
      <c r="I603" s="92" t="s">
        <v>2260</v>
      </c>
      <c r="J603" s="92" t="s">
        <v>2261</v>
      </c>
      <c r="K603" s="92"/>
      <c r="L603" s="52" t="str">
        <f>HYPERLINK("https://zibs.nl/wiki/part.BasisElementen-v1.0(2017NL)#","")</f>
        <v/>
      </c>
      <c r="M603" s="92"/>
      <c r="N603" s="53"/>
      <c r="O603" s="54"/>
    </row>
    <row r="604" spans="1:15" ht="25.5" x14ac:dyDescent="0.25">
      <c r="A604" s="91" t="s">
        <v>2257</v>
      </c>
      <c r="B604" t="s">
        <v>2258</v>
      </c>
      <c r="C604" s="93" t="s">
        <v>872</v>
      </c>
      <c r="D604" s="93"/>
      <c r="E604" s="94" t="s">
        <v>2262</v>
      </c>
      <c r="F604" s="94" t="s">
        <v>285</v>
      </c>
      <c r="G604" s="94" t="s">
        <v>77</v>
      </c>
      <c r="H604" s="94" t="s">
        <v>70</v>
      </c>
      <c r="I604" s="94" t="s">
        <v>2263</v>
      </c>
      <c r="J604" s="94" t="s">
        <v>2264</v>
      </c>
      <c r="K604" s="94" t="s">
        <v>2265</v>
      </c>
      <c r="L604" s="52" t="str">
        <f>HYPERLINK("https://zibs.nl/wiki/part.BasisElementen-v1.0(2017NL)#AssigningAuthority","AssigningAuthority")</f>
        <v>AssigningAuthority</v>
      </c>
      <c r="M604" s="94"/>
      <c r="N604" s="53"/>
      <c r="O604" s="54"/>
    </row>
    <row r="605" spans="1:15" ht="51" x14ac:dyDescent="0.25">
      <c r="A605" s="91" t="s">
        <v>2257</v>
      </c>
      <c r="B605" t="s">
        <v>2258</v>
      </c>
      <c r="C605" s="96" t="s">
        <v>2266</v>
      </c>
      <c r="D605" s="96"/>
      <c r="E605" s="97" t="s">
        <v>2267</v>
      </c>
      <c r="F605" s="97"/>
      <c r="G605" s="97" t="s">
        <v>77</v>
      </c>
      <c r="H605" s="97" t="s">
        <v>83</v>
      </c>
      <c r="I605" s="97" t="s">
        <v>2268</v>
      </c>
      <c r="J605" s="97" t="s">
        <v>2269</v>
      </c>
      <c r="K605" s="97" t="s">
        <v>2270</v>
      </c>
      <c r="L605" s="52" t="str">
        <f>HYPERLINK("https://zibs.nl/wiki/part.BasisElementen-v1.0(2017NL)#","")</f>
        <v/>
      </c>
      <c r="M605" s="97"/>
      <c r="N605" s="53"/>
      <c r="O605" s="54"/>
    </row>
    <row r="606" spans="1:15" ht="38.25" x14ac:dyDescent="0.25">
      <c r="A606" s="91" t="s">
        <v>2257</v>
      </c>
      <c r="B606" t="s">
        <v>2258</v>
      </c>
      <c r="C606" s="93" t="s">
        <v>2271</v>
      </c>
      <c r="D606" s="93"/>
      <c r="E606" s="94" t="s">
        <v>2272</v>
      </c>
      <c r="F606" s="94"/>
      <c r="G606" s="94" t="s">
        <v>109</v>
      </c>
      <c r="H606" s="94" t="s">
        <v>399</v>
      </c>
      <c r="I606" s="94" t="s">
        <v>2273</v>
      </c>
      <c r="J606" s="94" t="s">
        <v>2274</v>
      </c>
      <c r="K606" s="94"/>
      <c r="L606" s="98" t="s">
        <v>2003</v>
      </c>
      <c r="M606" s="94"/>
      <c r="N606" s="53"/>
      <c r="O606" s="54"/>
    </row>
    <row r="607" spans="1:15" ht="25.5" x14ac:dyDescent="0.25">
      <c r="A607" s="91" t="s">
        <v>2257</v>
      </c>
      <c r="B607" t="s">
        <v>2258</v>
      </c>
      <c r="C607" s="93" t="s">
        <v>812</v>
      </c>
      <c r="D607" s="93"/>
      <c r="E607" s="94" t="s">
        <v>813</v>
      </c>
      <c r="F607" s="94"/>
      <c r="G607" s="94" t="s">
        <v>109</v>
      </c>
      <c r="H607" s="94" t="s">
        <v>399</v>
      </c>
      <c r="I607" s="94" t="s">
        <v>2275</v>
      </c>
      <c r="J607" s="94" t="s">
        <v>2276</v>
      </c>
      <c r="K607" s="94"/>
      <c r="L607" s="98" t="s">
        <v>402</v>
      </c>
      <c r="M607" s="94"/>
      <c r="N607" s="53"/>
      <c r="O607" s="54"/>
    </row>
    <row r="608" spans="1:15" ht="51" x14ac:dyDescent="0.25">
      <c r="A608" s="91" t="s">
        <v>2257</v>
      </c>
      <c r="B608" t="s">
        <v>2258</v>
      </c>
      <c r="C608" s="93" t="s">
        <v>2277</v>
      </c>
      <c r="D608" s="93"/>
      <c r="E608" s="94" t="s">
        <v>2278</v>
      </c>
      <c r="F608" s="94"/>
      <c r="G608" s="94" t="s">
        <v>109</v>
      </c>
      <c r="H608" s="94" t="s">
        <v>399</v>
      </c>
      <c r="I608" s="94" t="s">
        <v>2279</v>
      </c>
      <c r="J608" s="94" t="s">
        <v>2280</v>
      </c>
      <c r="K608" s="94"/>
      <c r="L608" s="98" t="s">
        <v>2281</v>
      </c>
      <c r="M608" s="94"/>
      <c r="N608" s="53"/>
      <c r="O608" s="54"/>
    </row>
    <row r="609" spans="1:15" ht="25.5" x14ac:dyDescent="0.25">
      <c r="A609" s="91" t="s">
        <v>2257</v>
      </c>
      <c r="B609" t="s">
        <v>2258</v>
      </c>
      <c r="C609" s="96" t="s">
        <v>2282</v>
      </c>
      <c r="D609" s="96"/>
      <c r="E609" s="97" t="s">
        <v>2283</v>
      </c>
      <c r="F609" s="97"/>
      <c r="G609" s="97" t="s">
        <v>69</v>
      </c>
      <c r="H609" s="97" t="s">
        <v>83</v>
      </c>
      <c r="I609" s="97" t="s">
        <v>2284</v>
      </c>
      <c r="J609" s="97" t="s">
        <v>2285</v>
      </c>
      <c r="K609" s="97"/>
      <c r="L609" s="52" t="str">
        <f>HYPERLINK("https://zibs.nl/wiki/part.BasisElementen-v1.0(2017NL)#","")</f>
        <v/>
      </c>
      <c r="M609" s="97"/>
      <c r="N609" s="53"/>
      <c r="O609" s="54"/>
    </row>
    <row r="610" spans="1:15" ht="38.25" x14ac:dyDescent="0.25">
      <c r="A610" s="91" t="s">
        <v>2257</v>
      </c>
      <c r="B610" t="s">
        <v>2258</v>
      </c>
      <c r="C610" s="93" t="s">
        <v>2286</v>
      </c>
      <c r="D610" s="93"/>
      <c r="E610" s="94" t="s">
        <v>2287</v>
      </c>
      <c r="F610" s="94"/>
      <c r="G610" s="94" t="s">
        <v>109</v>
      </c>
      <c r="H610" s="94" t="s">
        <v>399</v>
      </c>
      <c r="I610" s="94" t="s">
        <v>2288</v>
      </c>
      <c r="J610" s="94" t="s">
        <v>2289</v>
      </c>
      <c r="K610" s="94"/>
      <c r="L610" s="98" t="s">
        <v>2003</v>
      </c>
      <c r="M610" s="94"/>
      <c r="N610" s="53"/>
      <c r="O610" s="54"/>
    </row>
    <row r="611" spans="1:15" ht="51" x14ac:dyDescent="0.25">
      <c r="A611" s="91" t="s">
        <v>2257</v>
      </c>
      <c r="B611" t="s">
        <v>2258</v>
      </c>
      <c r="C611" s="93" t="s">
        <v>2290</v>
      </c>
      <c r="D611" s="93"/>
      <c r="E611" s="94" t="s">
        <v>2291</v>
      </c>
      <c r="F611" s="94"/>
      <c r="G611" s="94" t="s">
        <v>109</v>
      </c>
      <c r="H611" s="94" t="s">
        <v>399</v>
      </c>
      <c r="I611" s="94" t="s">
        <v>2292</v>
      </c>
      <c r="J611" s="94" t="s">
        <v>2293</v>
      </c>
      <c r="K611" s="94"/>
      <c r="L611" s="98" t="s">
        <v>402</v>
      </c>
      <c r="M611" s="94"/>
      <c r="N611" s="53"/>
      <c r="O611" s="54"/>
    </row>
    <row r="612" spans="1:15" ht="38.25" x14ac:dyDescent="0.25">
      <c r="A612" s="91" t="s">
        <v>2257</v>
      </c>
      <c r="B612" t="s">
        <v>2258</v>
      </c>
      <c r="C612" s="93" t="s">
        <v>2294</v>
      </c>
      <c r="D612" s="93"/>
      <c r="E612" s="94" t="s">
        <v>2295</v>
      </c>
      <c r="F612" s="94"/>
      <c r="G612" s="94" t="s">
        <v>109</v>
      </c>
      <c r="H612" s="94" t="s">
        <v>399</v>
      </c>
      <c r="I612" s="94" t="s">
        <v>2296</v>
      </c>
      <c r="J612" s="94" t="s">
        <v>2297</v>
      </c>
      <c r="K612" s="94"/>
      <c r="L612" s="98" t="s">
        <v>2281</v>
      </c>
      <c r="M612" s="94"/>
      <c r="N612" s="53"/>
      <c r="O612" s="54"/>
    </row>
    <row r="613" spans="1:15" ht="38.25" x14ac:dyDescent="0.25">
      <c r="A613" s="91" t="s">
        <v>2257</v>
      </c>
      <c r="B613" t="s">
        <v>2258</v>
      </c>
      <c r="C613" s="96" t="s">
        <v>2298</v>
      </c>
      <c r="D613" s="96"/>
      <c r="E613" s="97" t="s">
        <v>2299</v>
      </c>
      <c r="F613" s="97"/>
      <c r="G613" s="97" t="s">
        <v>77</v>
      </c>
      <c r="H613" s="97" t="s">
        <v>83</v>
      </c>
      <c r="I613" s="97" t="s">
        <v>2300</v>
      </c>
      <c r="J613" s="97" t="s">
        <v>2301</v>
      </c>
      <c r="K613" s="97" t="s">
        <v>2302</v>
      </c>
      <c r="L613" s="52" t="str">
        <f>HYPERLINK("https://zibs.nl/wiki/part.BasisElementen-v1.0(2017NL)#","")</f>
        <v/>
      </c>
      <c r="M613" s="97"/>
      <c r="N613" s="53"/>
      <c r="O613" s="54"/>
    </row>
    <row r="614" spans="1:15" ht="25.5" x14ac:dyDescent="0.25">
      <c r="A614" s="91" t="s">
        <v>2257</v>
      </c>
      <c r="B614" t="s">
        <v>2258</v>
      </c>
      <c r="C614" s="95" t="s">
        <v>18</v>
      </c>
      <c r="D614" s="95"/>
      <c r="E614" s="94" t="s">
        <v>863</v>
      </c>
      <c r="F614" s="94"/>
      <c r="G614" s="94" t="s">
        <v>109</v>
      </c>
      <c r="H614" s="94" t="s">
        <v>399</v>
      </c>
      <c r="I614" s="94" t="s">
        <v>2303</v>
      </c>
      <c r="J614" s="94" t="s">
        <v>2304</v>
      </c>
      <c r="K614" s="94"/>
      <c r="L614" s="98" t="s">
        <v>2003</v>
      </c>
      <c r="M614" s="94"/>
      <c r="N614" s="53"/>
      <c r="O614" s="54"/>
    </row>
    <row r="615" spans="1:15" ht="38.25" x14ac:dyDescent="0.25">
      <c r="A615" s="91" t="s">
        <v>2257</v>
      </c>
      <c r="B615" t="s">
        <v>2258</v>
      </c>
      <c r="C615" s="95" t="s">
        <v>2305</v>
      </c>
      <c r="D615" s="95"/>
      <c r="E615" s="94" t="s">
        <v>2306</v>
      </c>
      <c r="F615" s="94"/>
      <c r="G615" s="94" t="s">
        <v>109</v>
      </c>
      <c r="H615" s="94" t="s">
        <v>399</v>
      </c>
      <c r="I615" s="94" t="s">
        <v>2307</v>
      </c>
      <c r="J615" s="94" t="s">
        <v>2308</v>
      </c>
      <c r="K615" s="94"/>
      <c r="L615" s="98" t="s">
        <v>2281</v>
      </c>
      <c r="M615" s="94"/>
      <c r="N615" s="53"/>
      <c r="O615" s="54"/>
    </row>
    <row r="616" spans="1:15" ht="25.5" x14ac:dyDescent="0.25">
      <c r="A616" s="91" t="s">
        <v>2257</v>
      </c>
      <c r="B616" t="s">
        <v>2258</v>
      </c>
      <c r="C616" s="95" t="s">
        <v>2309</v>
      </c>
      <c r="D616" s="95"/>
      <c r="E616" s="94" t="s">
        <v>2310</v>
      </c>
      <c r="F616" s="94" t="s">
        <v>88</v>
      </c>
      <c r="G616" s="94" t="s">
        <v>69</v>
      </c>
      <c r="H616" s="94" t="s">
        <v>70</v>
      </c>
      <c r="I616" s="94" t="s">
        <v>2311</v>
      </c>
      <c r="J616" s="94" t="s">
        <v>2312</v>
      </c>
      <c r="K616" s="94" t="s">
        <v>2313</v>
      </c>
      <c r="L616" s="52" t="str">
        <f>HYPERLINK("https://zibs.nl/wiki/part.BasisElementen-v1.0(2017NL)#","")</f>
        <v/>
      </c>
      <c r="M616" s="94"/>
      <c r="N616" s="53"/>
      <c r="O616" s="54"/>
    </row>
    <row r="617" spans="1:15" ht="15" x14ac:dyDescent="0.25">
      <c r="A617" s="99" t="s">
        <v>2314</v>
      </c>
      <c r="B617" t="s">
        <v>2315</v>
      </c>
      <c r="C617" s="93" t="s">
        <v>2316</v>
      </c>
      <c r="D617" s="93"/>
      <c r="E617" s="94" t="s">
        <v>2317</v>
      </c>
      <c r="F617" s="94" t="s">
        <v>97</v>
      </c>
      <c r="G617" s="94" t="s">
        <v>69</v>
      </c>
      <c r="H617" s="94" t="s">
        <v>70</v>
      </c>
      <c r="I617" s="94" t="s">
        <v>2318</v>
      </c>
      <c r="J617" s="94" t="s">
        <v>2319</v>
      </c>
      <c r="K617" s="94"/>
      <c r="L617" s="52" t="str">
        <f>HYPERLINK("https://zibs.nl/wiki/part.Bereik-v1.0(2017NL)#","")</f>
        <v/>
      </c>
      <c r="M617" s="94"/>
      <c r="N617" s="53"/>
      <c r="O617" s="54"/>
    </row>
    <row r="618" spans="1:15" ht="15" x14ac:dyDescent="0.25">
      <c r="A618" s="99" t="s">
        <v>2314</v>
      </c>
      <c r="B618" t="s">
        <v>2315</v>
      </c>
      <c r="C618" s="93" t="s">
        <v>2320</v>
      </c>
      <c r="D618" s="93"/>
      <c r="E618" s="94" t="s">
        <v>2321</v>
      </c>
      <c r="F618" s="94" t="s">
        <v>97</v>
      </c>
      <c r="G618" s="94" t="s">
        <v>69</v>
      </c>
      <c r="H618" s="94" t="s">
        <v>70</v>
      </c>
      <c r="I618" s="94" t="s">
        <v>2322</v>
      </c>
      <c r="J618" s="94" t="s">
        <v>2323</v>
      </c>
      <c r="K618" s="94"/>
      <c r="L618" s="52" t="str">
        <f>HYPERLINK("https://zibs.nl/wiki/part.Bereik-v1.0(2017NL)#","")</f>
        <v/>
      </c>
      <c r="M618" s="94"/>
      <c r="N618" s="53"/>
      <c r="O618" s="54"/>
    </row>
    <row r="619" spans="1:15" ht="25.5" x14ac:dyDescent="0.25">
      <c r="A619" s="99" t="s">
        <v>2314</v>
      </c>
      <c r="B619" t="s">
        <v>2315</v>
      </c>
      <c r="C619" s="93" t="s">
        <v>2324</v>
      </c>
      <c r="D619" s="93"/>
      <c r="E619" s="94" t="s">
        <v>2325</v>
      </c>
      <c r="F619" s="94" t="s">
        <v>97</v>
      </c>
      <c r="G619" s="94" t="s">
        <v>69</v>
      </c>
      <c r="H619" s="94" t="s">
        <v>70</v>
      </c>
      <c r="I619" s="94" t="s">
        <v>2326</v>
      </c>
      <c r="J619" s="94" t="s">
        <v>2327</v>
      </c>
      <c r="K619" s="94"/>
      <c r="L619" s="52" t="str">
        <f>HYPERLINK("https://zibs.nl/wiki/part.Bereik-v1.0(2017NL)#","")</f>
        <v/>
      </c>
      <c r="M619" s="94"/>
      <c r="N619" s="53"/>
      <c r="O619" s="54"/>
    </row>
    <row r="620" spans="1:15" ht="38.25" x14ac:dyDescent="0.25">
      <c r="A620" s="91" t="s">
        <v>2328</v>
      </c>
      <c r="B620" t="s">
        <v>2329</v>
      </c>
      <c r="C620" s="91" t="s">
        <v>2328</v>
      </c>
      <c r="D620" s="91"/>
      <c r="E620" s="92" t="s">
        <v>2330</v>
      </c>
      <c r="F620" s="92"/>
      <c r="G620" s="92"/>
      <c r="H620" s="92" t="s">
        <v>62</v>
      </c>
      <c r="I620" s="92" t="s">
        <v>2331</v>
      </c>
      <c r="J620" s="92" t="s">
        <v>2332</v>
      </c>
      <c r="K620" s="92" t="s">
        <v>2333</v>
      </c>
      <c r="L620" s="52" t="str">
        <f>HYPERLINK("https://zibs.nl/wiki/Ziektebeleving-v3.1(2017NL)#","")</f>
        <v/>
      </c>
      <c r="M620" s="92"/>
      <c r="N620" s="53"/>
      <c r="O620" s="54"/>
    </row>
    <row r="621" spans="1:15" ht="25.5" x14ac:dyDescent="0.25">
      <c r="A621" s="91" t="s">
        <v>2328</v>
      </c>
      <c r="B621" t="s">
        <v>2329</v>
      </c>
      <c r="C621" s="93" t="s">
        <v>2334</v>
      </c>
      <c r="D621" s="93"/>
      <c r="E621" s="94" t="s">
        <v>2335</v>
      </c>
      <c r="F621" s="94" t="s">
        <v>68</v>
      </c>
      <c r="G621" s="94" t="s">
        <v>69</v>
      </c>
      <c r="H621" s="94" t="s">
        <v>70</v>
      </c>
      <c r="I621" s="94" t="s">
        <v>2336</v>
      </c>
      <c r="J621" s="94" t="s">
        <v>2337</v>
      </c>
      <c r="K621" s="94" t="s">
        <v>2338</v>
      </c>
      <c r="L621" s="52" t="str">
        <f>HYPERLINK("https://zibs.nl/wiki/Ziektebeleving-v3.1(2017NL)#","")</f>
        <v/>
      </c>
      <c r="M621" s="94"/>
      <c r="N621" s="53"/>
      <c r="O621" s="54"/>
    </row>
    <row r="622" spans="1:15" ht="38.25" x14ac:dyDescent="0.25">
      <c r="A622" s="91" t="s">
        <v>2328</v>
      </c>
      <c r="B622" t="s">
        <v>2329</v>
      </c>
      <c r="C622" s="93" t="s">
        <v>2339</v>
      </c>
      <c r="D622" s="93"/>
      <c r="E622" s="94" t="s">
        <v>2340</v>
      </c>
      <c r="F622" s="94" t="s">
        <v>68</v>
      </c>
      <c r="G622" s="94" t="s">
        <v>69</v>
      </c>
      <c r="H622" s="94" t="s">
        <v>70</v>
      </c>
      <c r="I622" s="94" t="s">
        <v>2341</v>
      </c>
      <c r="J622" s="94" t="s">
        <v>2342</v>
      </c>
      <c r="K622" s="94" t="s">
        <v>2343</v>
      </c>
      <c r="L622" s="52" t="str">
        <f>HYPERLINK("https://zibs.nl/wiki/Ziektebeleving-v3.1(2017NL)#","")</f>
        <v/>
      </c>
      <c r="M622" s="94"/>
      <c r="N622" s="53"/>
      <c r="O622" s="54"/>
    </row>
    <row r="623" spans="1:15" ht="38.25" x14ac:dyDescent="0.25">
      <c r="A623" s="91" t="s">
        <v>2328</v>
      </c>
      <c r="B623" t="s">
        <v>2329</v>
      </c>
      <c r="C623" s="93" t="s">
        <v>2344</v>
      </c>
      <c r="D623" s="93"/>
      <c r="E623" s="94" t="s">
        <v>2345</v>
      </c>
      <c r="F623" s="94" t="s">
        <v>68</v>
      </c>
      <c r="G623" s="94" t="s">
        <v>69</v>
      </c>
      <c r="H623" s="94" t="s">
        <v>70</v>
      </c>
      <c r="I623" s="94" t="s">
        <v>2346</v>
      </c>
      <c r="J623" s="94" t="s">
        <v>2347</v>
      </c>
      <c r="K623" s="94" t="s">
        <v>2348</v>
      </c>
      <c r="L623" s="52" t="str">
        <f>HYPERLINK("https://zibs.nl/wiki/Ziektebeleving-v3.1(2017NL)#","")</f>
        <v/>
      </c>
      <c r="M623" s="94"/>
      <c r="N623" s="53"/>
      <c r="O623" s="54"/>
    </row>
    <row r="624" spans="1:15" ht="25.5" x14ac:dyDescent="0.25">
      <c r="A624" s="91" t="s">
        <v>300</v>
      </c>
      <c r="B624" t="s">
        <v>2349</v>
      </c>
      <c r="C624" s="91" t="s">
        <v>300</v>
      </c>
      <c r="D624" s="91"/>
      <c r="E624" s="92" t="s">
        <v>301</v>
      </c>
      <c r="F624" s="92"/>
      <c r="G624" s="92"/>
      <c r="H624" s="92" t="s">
        <v>62</v>
      </c>
      <c r="I624" s="92" t="s">
        <v>2350</v>
      </c>
      <c r="J624" s="92" t="s">
        <v>2351</v>
      </c>
      <c r="K624" s="92"/>
      <c r="L624" s="52" t="str">
        <f>HYPERLINK("https://zibs.nl/wiki/part.Contactgegevens-v1.0(2017NL)#","")</f>
        <v/>
      </c>
      <c r="M624" s="92"/>
      <c r="N624" s="53"/>
      <c r="O624" s="54"/>
    </row>
    <row r="625" spans="1:15" ht="25.5" x14ac:dyDescent="0.25">
      <c r="A625" s="100" t="s">
        <v>300</v>
      </c>
      <c r="B625" t="s">
        <v>2349</v>
      </c>
      <c r="C625" s="96" t="s">
        <v>2352</v>
      </c>
      <c r="D625" s="96"/>
      <c r="E625" s="97" t="s">
        <v>2353</v>
      </c>
      <c r="F625" s="97"/>
      <c r="G625" s="97" t="s">
        <v>158</v>
      </c>
      <c r="H625" s="97" t="s">
        <v>83</v>
      </c>
      <c r="I625" s="97" t="s">
        <v>2354</v>
      </c>
      <c r="J625" s="97" t="s">
        <v>2355</v>
      </c>
      <c r="K625" s="97"/>
      <c r="L625" s="52" t="str">
        <f>HYPERLINK("https://zibs.nl/wiki/part.Contactgegevens-v1.0(2017NL)#","")</f>
        <v/>
      </c>
      <c r="M625" s="97"/>
      <c r="N625" s="53"/>
      <c r="O625" s="54"/>
    </row>
    <row r="626" spans="1:15" ht="15" x14ac:dyDescent="0.25">
      <c r="A626" s="100" t="s">
        <v>300</v>
      </c>
      <c r="B626" t="s">
        <v>2349</v>
      </c>
      <c r="C626" s="93" t="s">
        <v>2356</v>
      </c>
      <c r="D626" s="93"/>
      <c r="E626" s="94" t="s">
        <v>2357</v>
      </c>
      <c r="F626" s="94" t="s">
        <v>68</v>
      </c>
      <c r="G626" s="94" t="s">
        <v>77</v>
      </c>
      <c r="H626" s="94" t="s">
        <v>70</v>
      </c>
      <c r="I626" s="94" t="s">
        <v>2358</v>
      </c>
      <c r="J626" s="94" t="s">
        <v>2359</v>
      </c>
      <c r="K626" s="94"/>
      <c r="L626" s="52" t="str">
        <f>HYPERLINK("https://zibs.nl/wiki/part.Contactgegevens-v1.0(2017NL)#","")</f>
        <v/>
      </c>
      <c r="M626" s="94"/>
      <c r="N626" s="53"/>
      <c r="O626" s="54"/>
    </row>
    <row r="627" spans="1:15" ht="15" x14ac:dyDescent="0.25">
      <c r="A627" s="100" t="s">
        <v>300</v>
      </c>
      <c r="B627" t="s">
        <v>2349</v>
      </c>
      <c r="C627" s="93" t="s">
        <v>2360</v>
      </c>
      <c r="D627" s="93"/>
      <c r="E627" s="94" t="s">
        <v>2361</v>
      </c>
      <c r="F627" s="94" t="s">
        <v>76</v>
      </c>
      <c r="G627" s="94" t="s">
        <v>77</v>
      </c>
      <c r="H627" s="94" t="s">
        <v>70</v>
      </c>
      <c r="I627" s="94" t="s">
        <v>2362</v>
      </c>
      <c r="J627" s="94" t="s">
        <v>2363</v>
      </c>
      <c r="K627" s="94"/>
      <c r="L627" s="52" t="str">
        <f>HYPERLINK("https://zibs.nl/wiki/part.Contactgegevens-v1.0(2017NL)#TelecomTypeCodelijst","TelecomTypeCodelijst")</f>
        <v>TelecomTypeCodelijst</v>
      </c>
      <c r="M627" s="94"/>
      <c r="N627" s="53"/>
      <c r="O627" s="54"/>
    </row>
    <row r="628" spans="1:15" ht="15" x14ac:dyDescent="0.25">
      <c r="A628" s="100" t="s">
        <v>300</v>
      </c>
      <c r="B628" t="s">
        <v>2349</v>
      </c>
      <c r="C628" s="93" t="s">
        <v>2364</v>
      </c>
      <c r="D628" s="93"/>
      <c r="E628" s="94" t="s">
        <v>2365</v>
      </c>
      <c r="F628" s="94" t="s">
        <v>76</v>
      </c>
      <c r="G628" s="94" t="s">
        <v>69</v>
      </c>
      <c r="H628" s="94" t="s">
        <v>70</v>
      </c>
      <c r="I628" s="94" t="s">
        <v>2366</v>
      </c>
      <c r="J628" s="94" t="s">
        <v>2367</v>
      </c>
      <c r="K628" s="94"/>
      <c r="L628" s="52" t="str">
        <f>HYPERLINK("https://zibs.nl/wiki/part.Contactgegevens-v1.0(2017NL)#NummerSoortCodelijst","NummerSoortCodelijst")</f>
        <v>NummerSoortCodelijst</v>
      </c>
      <c r="M628" s="94"/>
      <c r="N628" s="53"/>
      <c r="O628" s="54"/>
    </row>
    <row r="629" spans="1:15" ht="15" x14ac:dyDescent="0.25">
      <c r="A629" s="100" t="s">
        <v>300</v>
      </c>
      <c r="B629" t="s">
        <v>2349</v>
      </c>
      <c r="C629" s="96" t="s">
        <v>2368</v>
      </c>
      <c r="D629" s="96"/>
      <c r="E629" s="97" t="s">
        <v>2369</v>
      </c>
      <c r="F629" s="97"/>
      <c r="G629" s="97" t="s">
        <v>158</v>
      </c>
      <c r="H629" s="97" t="s">
        <v>83</v>
      </c>
      <c r="I629" s="97" t="s">
        <v>2370</v>
      </c>
      <c r="J629" s="97" t="s">
        <v>2371</v>
      </c>
      <c r="K629" s="97"/>
      <c r="L629" s="52" t="str">
        <f>HYPERLINK("https://zibs.nl/wiki/part.Contactgegevens-v1.0(2017NL)#","")</f>
        <v/>
      </c>
      <c r="M629" s="97"/>
      <c r="N629" s="53"/>
      <c r="O629" s="54"/>
    </row>
    <row r="630" spans="1:15" ht="15" x14ac:dyDescent="0.25">
      <c r="A630" s="100" t="s">
        <v>300</v>
      </c>
      <c r="B630" t="s">
        <v>2349</v>
      </c>
      <c r="C630" s="93" t="s">
        <v>2372</v>
      </c>
      <c r="D630" s="93"/>
      <c r="E630" s="94" t="s">
        <v>2373</v>
      </c>
      <c r="F630" s="94" t="s">
        <v>68</v>
      </c>
      <c r="G630" s="94" t="s">
        <v>77</v>
      </c>
      <c r="H630" s="94" t="s">
        <v>70</v>
      </c>
      <c r="I630" s="94" t="s">
        <v>2374</v>
      </c>
      <c r="J630" s="94" t="s">
        <v>2375</v>
      </c>
      <c r="K630" s="94"/>
      <c r="L630" s="52" t="str">
        <f>HYPERLINK("https://zibs.nl/wiki/part.Contactgegevens-v1.0(2017NL)#","")</f>
        <v/>
      </c>
      <c r="M630" s="94"/>
      <c r="N630" s="53"/>
      <c r="O630" s="54"/>
    </row>
    <row r="631" spans="1:15" ht="15" x14ac:dyDescent="0.25">
      <c r="A631" s="100" t="s">
        <v>300</v>
      </c>
      <c r="B631" t="s">
        <v>2349</v>
      </c>
      <c r="C631" s="93" t="s">
        <v>2376</v>
      </c>
      <c r="D631" s="93"/>
      <c r="E631" s="94" t="s">
        <v>2377</v>
      </c>
      <c r="F631" s="94" t="s">
        <v>76</v>
      </c>
      <c r="G631" s="94" t="s">
        <v>69</v>
      </c>
      <c r="H631" s="94" t="s">
        <v>70</v>
      </c>
      <c r="I631" s="94" t="s">
        <v>2378</v>
      </c>
      <c r="J631" s="94" t="s">
        <v>2379</v>
      </c>
      <c r="K631" s="94"/>
      <c r="L631" s="52" t="str">
        <f>HYPERLINK("https://zibs.nl/wiki/part.Contactgegevens-v1.0(2017NL)#EmailSoortCodelijst","EmailSoortCodelijst")</f>
        <v>EmailSoortCodelijst</v>
      </c>
      <c r="M631" s="94"/>
      <c r="N631" s="53"/>
      <c r="O631" s="54"/>
    </row>
    <row r="632" spans="1:15" ht="25.5" x14ac:dyDescent="0.25">
      <c r="A632" s="91" t="s">
        <v>369</v>
      </c>
      <c r="B632" t="s">
        <v>2380</v>
      </c>
      <c r="C632" s="91" t="s">
        <v>369</v>
      </c>
      <c r="D632" s="91"/>
      <c r="E632" s="92" t="s">
        <v>370</v>
      </c>
      <c r="F632" s="92"/>
      <c r="G632" s="92"/>
      <c r="H632" s="92" t="s">
        <v>62</v>
      </c>
      <c r="I632" s="92" t="s">
        <v>2381</v>
      </c>
      <c r="J632" s="92" t="s">
        <v>2382</v>
      </c>
      <c r="K632" s="92"/>
      <c r="L632" s="52" t="str">
        <f>HYPERLINK("https://zibs.nl/wiki/part.Naamgegevens-v1.0.1(2017NL)#","")</f>
        <v/>
      </c>
      <c r="M632" s="92"/>
      <c r="N632" s="53" t="s">
        <v>106</v>
      </c>
      <c r="O632" s="54"/>
    </row>
    <row r="633" spans="1:15" ht="15" x14ac:dyDescent="0.25">
      <c r="A633" s="91" t="s">
        <v>369</v>
      </c>
      <c r="B633" t="s">
        <v>2380</v>
      </c>
      <c r="C633" s="93" t="s">
        <v>2383</v>
      </c>
      <c r="D633" s="93"/>
      <c r="E633" s="94" t="s">
        <v>2384</v>
      </c>
      <c r="F633" s="94" t="s">
        <v>68</v>
      </c>
      <c r="G633" s="94" t="s">
        <v>69</v>
      </c>
      <c r="H633" s="94" t="s">
        <v>70</v>
      </c>
      <c r="I633" s="94" t="s">
        <v>2385</v>
      </c>
      <c r="J633" s="94" t="s">
        <v>2386</v>
      </c>
      <c r="K633" s="94"/>
      <c r="L633" s="52" t="str">
        <f>HYPERLINK("https://zibs.nl/wiki/part.Naamgegevens-v1.0.1(2017NL)#","")</f>
        <v/>
      </c>
      <c r="M633" s="94"/>
      <c r="N633" s="53" t="s">
        <v>106</v>
      </c>
      <c r="O633" s="54"/>
    </row>
    <row r="634" spans="1:15" ht="15" x14ac:dyDescent="0.25">
      <c r="A634" s="91" t="s">
        <v>369</v>
      </c>
      <c r="B634" t="s">
        <v>2380</v>
      </c>
      <c r="C634" s="93" t="s">
        <v>2387</v>
      </c>
      <c r="D634" s="93"/>
      <c r="E634" s="94" t="s">
        <v>2388</v>
      </c>
      <c r="F634" s="94" t="s">
        <v>68</v>
      </c>
      <c r="G634" s="94" t="s">
        <v>69</v>
      </c>
      <c r="H634" s="94" t="s">
        <v>70</v>
      </c>
      <c r="I634" s="94" t="s">
        <v>2389</v>
      </c>
      <c r="J634" s="94" t="s">
        <v>2390</v>
      </c>
      <c r="K634" s="94"/>
      <c r="L634" s="52" t="str">
        <f>HYPERLINK("https://zibs.nl/wiki/part.Naamgegevens-v1.0.1(2017NL)#","")</f>
        <v/>
      </c>
      <c r="M634" s="94"/>
      <c r="N634" s="53" t="s">
        <v>106</v>
      </c>
      <c r="O634" s="54"/>
    </row>
    <row r="635" spans="1:15" ht="15" x14ac:dyDescent="0.25">
      <c r="A635" s="91" t="s">
        <v>369</v>
      </c>
      <c r="B635" t="s">
        <v>2380</v>
      </c>
      <c r="C635" s="93" t="s">
        <v>2391</v>
      </c>
      <c r="D635" s="93"/>
      <c r="E635" s="94" t="s">
        <v>2392</v>
      </c>
      <c r="F635" s="94" t="s">
        <v>68</v>
      </c>
      <c r="G635" s="94" t="s">
        <v>69</v>
      </c>
      <c r="H635" s="94" t="s">
        <v>70</v>
      </c>
      <c r="I635" s="94" t="s">
        <v>2393</v>
      </c>
      <c r="J635" s="94" t="s">
        <v>2394</v>
      </c>
      <c r="K635" s="94"/>
      <c r="L635" s="52" t="str">
        <f>HYPERLINK("https://zibs.nl/wiki/part.Naamgegevens-v1.0.1(2017NL)#","")</f>
        <v/>
      </c>
      <c r="M635" s="94"/>
      <c r="N635" s="53" t="s">
        <v>106</v>
      </c>
      <c r="O635" s="54"/>
    </row>
    <row r="636" spans="1:15" ht="25.5" x14ac:dyDescent="0.25">
      <c r="A636" s="91" t="s">
        <v>369</v>
      </c>
      <c r="B636" t="s">
        <v>2380</v>
      </c>
      <c r="C636" s="93" t="s">
        <v>2395</v>
      </c>
      <c r="D636" s="93"/>
      <c r="E636" s="94" t="s">
        <v>2396</v>
      </c>
      <c r="F636" s="94" t="s">
        <v>76</v>
      </c>
      <c r="G636" s="94" t="s">
        <v>69</v>
      </c>
      <c r="H636" s="94" t="s">
        <v>70</v>
      </c>
      <c r="I636" s="94" t="s">
        <v>2397</v>
      </c>
      <c r="J636" s="94" t="s">
        <v>2398</v>
      </c>
      <c r="K636" s="94"/>
      <c r="L636" s="52" t="str">
        <f>HYPERLINK("https://zibs.nl/wiki/part.Naamgegevens-v1.0.1(2017NL)#NaamgebruikCodelijst","NaamgebruikCodelijst")</f>
        <v>NaamgebruikCodelijst</v>
      </c>
      <c r="M636" s="94"/>
      <c r="N636" s="53" t="s">
        <v>106</v>
      </c>
      <c r="O636" s="54"/>
    </row>
    <row r="637" spans="1:15" ht="15" x14ac:dyDescent="0.25">
      <c r="A637" s="91" t="s">
        <v>369</v>
      </c>
      <c r="B637" t="s">
        <v>2380</v>
      </c>
      <c r="C637" s="96" t="s">
        <v>2399</v>
      </c>
      <c r="D637" s="96"/>
      <c r="E637" s="97" t="s">
        <v>2400</v>
      </c>
      <c r="F637" s="97"/>
      <c r="G637" s="97" t="s">
        <v>69</v>
      </c>
      <c r="H637" s="97" t="s">
        <v>83</v>
      </c>
      <c r="I637" s="97" t="s">
        <v>2401</v>
      </c>
      <c r="J637" s="97" t="s">
        <v>2402</v>
      </c>
      <c r="K637" s="97"/>
      <c r="L637" s="52" t="str">
        <f t="shared" ref="L637:L642" si="7">HYPERLINK("https://zibs.nl/wiki/part.Naamgegevens-v1.0.1(2017NL)#","")</f>
        <v/>
      </c>
      <c r="M637" s="97"/>
      <c r="N637" s="53" t="s">
        <v>106</v>
      </c>
      <c r="O637" s="54"/>
    </row>
    <row r="638" spans="1:15" ht="25.5" x14ac:dyDescent="0.25">
      <c r="A638" s="91" t="s">
        <v>369</v>
      </c>
      <c r="B638" t="s">
        <v>2380</v>
      </c>
      <c r="C638" s="93" t="s">
        <v>2403</v>
      </c>
      <c r="D638" s="93"/>
      <c r="E638" s="94" t="s">
        <v>2404</v>
      </c>
      <c r="F638" s="94" t="s">
        <v>68</v>
      </c>
      <c r="G638" s="94" t="s">
        <v>69</v>
      </c>
      <c r="H638" s="94" t="s">
        <v>70</v>
      </c>
      <c r="I638" s="94" t="s">
        <v>2405</v>
      </c>
      <c r="J638" s="94" t="s">
        <v>2406</v>
      </c>
      <c r="K638" s="94"/>
      <c r="L638" s="52" t="str">
        <f t="shared" si="7"/>
        <v/>
      </c>
      <c r="M638" s="94"/>
      <c r="N638" s="53" t="s">
        <v>106</v>
      </c>
      <c r="O638" s="54"/>
    </row>
    <row r="639" spans="1:15" ht="25.5" x14ac:dyDescent="0.25">
      <c r="A639" s="91" t="s">
        <v>369</v>
      </c>
      <c r="B639" t="s">
        <v>2380</v>
      </c>
      <c r="C639" s="93" t="s">
        <v>2407</v>
      </c>
      <c r="D639" s="93"/>
      <c r="E639" s="94" t="s">
        <v>2400</v>
      </c>
      <c r="F639" s="94" t="s">
        <v>68</v>
      </c>
      <c r="G639" s="94" t="s">
        <v>77</v>
      </c>
      <c r="H639" s="94" t="s">
        <v>70</v>
      </c>
      <c r="I639" s="94" t="s">
        <v>2408</v>
      </c>
      <c r="J639" s="94" t="s">
        <v>278</v>
      </c>
      <c r="K639" s="94"/>
      <c r="L639" s="52" t="str">
        <f t="shared" si="7"/>
        <v/>
      </c>
      <c r="M639" s="94"/>
      <c r="N639" s="53" t="s">
        <v>106</v>
      </c>
      <c r="O639" s="54"/>
    </row>
    <row r="640" spans="1:15" ht="25.5" x14ac:dyDescent="0.25">
      <c r="A640" s="91" t="s">
        <v>369</v>
      </c>
      <c r="B640" t="s">
        <v>2380</v>
      </c>
      <c r="C640" s="96" t="s">
        <v>2409</v>
      </c>
      <c r="D640" s="96"/>
      <c r="E640" s="97" t="s">
        <v>2410</v>
      </c>
      <c r="F640" s="97"/>
      <c r="G640" s="97" t="s">
        <v>69</v>
      </c>
      <c r="H640" s="97" t="s">
        <v>83</v>
      </c>
      <c r="I640" s="97" t="s">
        <v>2411</v>
      </c>
      <c r="J640" s="97" t="s">
        <v>2412</v>
      </c>
      <c r="K640" s="97"/>
      <c r="L640" s="52" t="str">
        <f t="shared" si="7"/>
        <v/>
      </c>
      <c r="M640" s="97"/>
      <c r="N640" s="53" t="s">
        <v>106</v>
      </c>
      <c r="O640" s="54"/>
    </row>
    <row r="641" spans="1:15" ht="15" x14ac:dyDescent="0.25">
      <c r="A641" s="91" t="s">
        <v>369</v>
      </c>
      <c r="B641" t="s">
        <v>2380</v>
      </c>
      <c r="C641" s="93" t="s">
        <v>2413</v>
      </c>
      <c r="D641" s="93"/>
      <c r="E641" s="94" t="s">
        <v>2414</v>
      </c>
      <c r="F641" s="94" t="s">
        <v>68</v>
      </c>
      <c r="G641" s="94" t="s">
        <v>69</v>
      </c>
      <c r="H641" s="94" t="s">
        <v>70</v>
      </c>
      <c r="I641" s="94" t="s">
        <v>2415</v>
      </c>
      <c r="J641" s="94" t="s">
        <v>2416</v>
      </c>
      <c r="K641" s="94"/>
      <c r="L641" s="52" t="str">
        <f t="shared" si="7"/>
        <v/>
      </c>
      <c r="M641" s="94"/>
      <c r="N641" s="53" t="s">
        <v>106</v>
      </c>
      <c r="O641" s="54"/>
    </row>
    <row r="642" spans="1:15" ht="15" x14ac:dyDescent="0.25">
      <c r="A642" s="91" t="s">
        <v>369</v>
      </c>
      <c r="B642" t="s">
        <v>2380</v>
      </c>
      <c r="C642" s="93" t="s">
        <v>2417</v>
      </c>
      <c r="D642" s="93"/>
      <c r="E642" s="94" t="s">
        <v>2418</v>
      </c>
      <c r="F642" s="94" t="s">
        <v>68</v>
      </c>
      <c r="G642" s="94" t="s">
        <v>77</v>
      </c>
      <c r="H642" s="94" t="s">
        <v>70</v>
      </c>
      <c r="I642" s="94" t="s">
        <v>2419</v>
      </c>
      <c r="J642" s="94" t="s">
        <v>278</v>
      </c>
      <c r="K642" s="94"/>
      <c r="L642" s="52" t="str">
        <f t="shared" si="7"/>
        <v/>
      </c>
      <c r="M642" s="94"/>
      <c r="N642" s="53" t="s">
        <v>106</v>
      </c>
      <c r="O642" s="54"/>
    </row>
    <row r="643" spans="1:15" ht="38.25" x14ac:dyDescent="0.25">
      <c r="A643" s="91" t="s">
        <v>2420</v>
      </c>
      <c r="B643" t="s">
        <v>2421</v>
      </c>
      <c r="C643" s="91" t="s">
        <v>2420</v>
      </c>
      <c r="D643" s="91"/>
      <c r="E643" s="92" t="s">
        <v>2422</v>
      </c>
      <c r="F643" s="92"/>
      <c r="G643" s="92"/>
      <c r="H643" s="92" t="s">
        <v>62</v>
      </c>
      <c r="I643" s="92" t="s">
        <v>2423</v>
      </c>
      <c r="J643" s="92" t="s">
        <v>278</v>
      </c>
      <c r="K643" s="92"/>
      <c r="L643" s="52" t="str">
        <f>HYPERLINK("https://zibs.nl/wiki/part.FarmaceutischProduct-v2.0(2017NL)#","")</f>
        <v/>
      </c>
      <c r="M643" s="92"/>
      <c r="N643" s="53" t="s">
        <v>106</v>
      </c>
      <c r="O643" s="54"/>
    </row>
    <row r="644" spans="1:15" ht="51" x14ac:dyDescent="0.25">
      <c r="A644" s="91" t="s">
        <v>2420</v>
      </c>
      <c r="B644" t="s">
        <v>2421</v>
      </c>
      <c r="C644" s="96" t="s">
        <v>2424</v>
      </c>
      <c r="D644" s="96"/>
      <c r="E644" s="97" t="s">
        <v>2425</v>
      </c>
      <c r="F644" s="97"/>
      <c r="G644" s="97" t="s">
        <v>69</v>
      </c>
      <c r="H644" s="97" t="s">
        <v>83</v>
      </c>
      <c r="I644" s="97" t="s">
        <v>2426</v>
      </c>
      <c r="J644" s="97" t="s">
        <v>2427</v>
      </c>
      <c r="K644" s="97"/>
      <c r="L644" s="52" t="str">
        <f>HYPERLINK("https://zibs.nl/wiki/part.FarmaceutischProduct-v2.0(2017NL)#","")</f>
        <v/>
      </c>
      <c r="M644" s="97"/>
      <c r="N644" s="53" t="s">
        <v>106</v>
      </c>
      <c r="O644" s="54"/>
    </row>
    <row r="645" spans="1:15" ht="38.25" x14ac:dyDescent="0.25">
      <c r="A645" s="91" t="s">
        <v>2420</v>
      </c>
      <c r="B645" t="s">
        <v>2421</v>
      </c>
      <c r="C645" s="93" t="s">
        <v>2428</v>
      </c>
      <c r="D645" s="93"/>
      <c r="E645" s="94" t="s">
        <v>2429</v>
      </c>
      <c r="F645" s="94" t="s">
        <v>76</v>
      </c>
      <c r="G645" s="94" t="s">
        <v>69</v>
      </c>
      <c r="H645" s="94" t="s">
        <v>70</v>
      </c>
      <c r="I645" s="94" t="s">
        <v>2430</v>
      </c>
      <c r="J645" s="94" t="s">
        <v>2431</v>
      </c>
      <c r="K645" s="94"/>
      <c r="L645" s="52" t="str">
        <f>HYPERLINK("https://zibs.nl/wiki/part.FarmaceutischProduct-v2.0(2017NL)#FarmaceutischeVormCodelijst","FarmaceutischeVormCodelijst")</f>
        <v>FarmaceutischeVormCodelijst</v>
      </c>
      <c r="M645" s="94"/>
      <c r="N645" s="53" t="s">
        <v>106</v>
      </c>
      <c r="O645" s="54"/>
    </row>
    <row r="646" spans="1:15" ht="382.5" x14ac:dyDescent="0.25">
      <c r="A646" s="91" t="s">
        <v>2420</v>
      </c>
      <c r="B646" t="s">
        <v>2421</v>
      </c>
      <c r="C646" s="93" t="s">
        <v>1008</v>
      </c>
      <c r="D646" s="101"/>
      <c r="E646" s="102" t="s">
        <v>2432</v>
      </c>
      <c r="F646" s="102" t="s">
        <v>76</v>
      </c>
      <c r="G646" s="102" t="s">
        <v>69</v>
      </c>
      <c r="H646" s="102" t="s">
        <v>70</v>
      </c>
      <c r="I646" s="102" t="s">
        <v>2433</v>
      </c>
      <c r="J646" s="94" t="s">
        <v>2434</v>
      </c>
      <c r="K646" s="102"/>
      <c r="L646" s="52" t="str">
        <f>HYPERLINK("https://zibs.nl/wiki/part.FarmaceutischProduct-v2.0(2017NL)#ProductCodeATCCodelijst","ProductCodeATCCodelijst")</f>
        <v>ProductCodeATCCodelijst</v>
      </c>
      <c r="M646" s="102"/>
      <c r="N646" s="53" t="s">
        <v>106</v>
      </c>
      <c r="O646" s="54"/>
    </row>
    <row r="647" spans="1:15" ht="382.5" x14ac:dyDescent="0.25">
      <c r="A647" s="91" t="s">
        <v>2420</v>
      </c>
      <c r="B647" t="s">
        <v>2421</v>
      </c>
      <c r="C647" s="93" t="s">
        <v>1008</v>
      </c>
      <c r="D647" s="101"/>
      <c r="E647" s="102" t="s">
        <v>2432</v>
      </c>
      <c r="F647" s="102" t="s">
        <v>76</v>
      </c>
      <c r="G647" s="102" t="s">
        <v>69</v>
      </c>
      <c r="H647" s="102" t="s">
        <v>70</v>
      </c>
      <c r="I647" s="102" t="s">
        <v>2433</v>
      </c>
      <c r="J647" s="94" t="s">
        <v>2434</v>
      </c>
      <c r="K647" s="103"/>
      <c r="L647" s="52" t="str">
        <f>HYPERLINK("https://zibs.nl/wiki/part.FarmaceutischProduct-v2.0(2017NL)#ProductCodeGPKCodelijst","ProductCodeGPKCodelijst")</f>
        <v>ProductCodeGPKCodelijst</v>
      </c>
      <c r="M647" s="103"/>
      <c r="N647" s="53" t="s">
        <v>106</v>
      </c>
      <c r="O647" s="54"/>
    </row>
    <row r="648" spans="1:15" ht="382.5" x14ac:dyDescent="0.25">
      <c r="A648" s="91" t="s">
        <v>2420</v>
      </c>
      <c r="B648" t="s">
        <v>2421</v>
      </c>
      <c r="C648" s="93" t="s">
        <v>1008</v>
      </c>
      <c r="D648" s="101"/>
      <c r="E648" s="102" t="s">
        <v>2432</v>
      </c>
      <c r="F648" s="102" t="s">
        <v>76</v>
      </c>
      <c r="G648" s="102" t="s">
        <v>69</v>
      </c>
      <c r="H648" s="102" t="s">
        <v>70</v>
      </c>
      <c r="I648" s="102" t="s">
        <v>2433</v>
      </c>
      <c r="J648" s="94" t="s">
        <v>2434</v>
      </c>
      <c r="K648" s="103"/>
      <c r="L648" s="52" t="str">
        <f>HYPERLINK("https://zibs.nl/wiki/part.FarmaceutischProduct-v2.0(2017NL)#ProductCodeGTINCodelijst","ProductCodeGTINCodelijst")</f>
        <v>ProductCodeGTINCodelijst</v>
      </c>
      <c r="M648" s="103"/>
      <c r="N648" s="53" t="s">
        <v>106</v>
      </c>
      <c r="O648" s="54"/>
    </row>
    <row r="649" spans="1:15" ht="382.5" x14ac:dyDescent="0.25">
      <c r="A649" s="91" t="s">
        <v>2420</v>
      </c>
      <c r="B649" t="s">
        <v>2421</v>
      </c>
      <c r="C649" s="93" t="s">
        <v>1008</v>
      </c>
      <c r="D649" s="101"/>
      <c r="E649" s="102" t="s">
        <v>2432</v>
      </c>
      <c r="F649" s="102" t="s">
        <v>76</v>
      </c>
      <c r="G649" s="102" t="s">
        <v>69</v>
      </c>
      <c r="H649" s="102" t="s">
        <v>70</v>
      </c>
      <c r="I649" s="102" t="s">
        <v>2433</v>
      </c>
      <c r="J649" s="94" t="s">
        <v>2434</v>
      </c>
      <c r="K649" s="103"/>
      <c r="L649" s="52" t="str">
        <f>HYPERLINK("https://zibs.nl/wiki/part.FarmaceutischProduct-v2.0(2017NL)#ProductCodeHPKCodelijst","ProductCodeHPKCodelijst")</f>
        <v>ProductCodeHPKCodelijst</v>
      </c>
      <c r="M649" s="103"/>
      <c r="N649" s="53" t="s">
        <v>106</v>
      </c>
      <c r="O649" s="54"/>
    </row>
    <row r="650" spans="1:15" ht="382.5" x14ac:dyDescent="0.25">
      <c r="A650" s="91" t="s">
        <v>2420</v>
      </c>
      <c r="B650" t="s">
        <v>2421</v>
      </c>
      <c r="C650" s="93" t="s">
        <v>1008</v>
      </c>
      <c r="D650" s="101"/>
      <c r="E650" s="102" t="s">
        <v>2432</v>
      </c>
      <c r="F650" s="102" t="s">
        <v>76</v>
      </c>
      <c r="G650" s="102" t="s">
        <v>69</v>
      </c>
      <c r="H650" s="102" t="s">
        <v>70</v>
      </c>
      <c r="I650" s="102" t="s">
        <v>2433</v>
      </c>
      <c r="J650" s="94" t="s">
        <v>2434</v>
      </c>
      <c r="K650" s="103"/>
      <c r="L650" s="52" t="str">
        <f>HYPERLINK("https://zibs.nl/wiki/part.FarmaceutischProduct-v2.0(2017NL)#ProductCodePRKCodelijst","ProductCodePRKCodelijst")</f>
        <v>ProductCodePRKCodelijst</v>
      </c>
      <c r="M650" s="103"/>
      <c r="N650" s="53" t="s">
        <v>106</v>
      </c>
      <c r="O650" s="54"/>
    </row>
    <row r="651" spans="1:15" ht="382.5" x14ac:dyDescent="0.25">
      <c r="A651" s="91" t="s">
        <v>2420</v>
      </c>
      <c r="B651" t="s">
        <v>2421</v>
      </c>
      <c r="C651" s="93" t="s">
        <v>1008</v>
      </c>
      <c r="D651" s="101"/>
      <c r="E651" s="102" t="s">
        <v>2432</v>
      </c>
      <c r="F651" s="102" t="s">
        <v>76</v>
      </c>
      <c r="G651" s="102" t="s">
        <v>69</v>
      </c>
      <c r="H651" s="102" t="s">
        <v>70</v>
      </c>
      <c r="I651" s="102" t="s">
        <v>2433</v>
      </c>
      <c r="J651" s="94" t="s">
        <v>2434</v>
      </c>
      <c r="K651" s="104"/>
      <c r="L651" s="52" t="str">
        <f>HYPERLINK("https://zibs.nl/wiki/part.FarmaceutischProduct-v2.0(2017NL)#ProductCodeZICodelijst","ProductCodeZICodelijst")</f>
        <v>ProductCodeZICodelijst</v>
      </c>
      <c r="M651" s="104"/>
      <c r="N651" s="53" t="s">
        <v>106</v>
      </c>
      <c r="O651" s="54"/>
    </row>
    <row r="652" spans="1:15" ht="38.25" x14ac:dyDescent="0.25">
      <c r="A652" s="91" t="s">
        <v>2420</v>
      </c>
      <c r="B652" t="s">
        <v>2421</v>
      </c>
      <c r="C652" s="93" t="s">
        <v>2435</v>
      </c>
      <c r="D652" s="93"/>
      <c r="E652" s="94" t="s">
        <v>2436</v>
      </c>
      <c r="F652" s="94" t="s">
        <v>68</v>
      </c>
      <c r="G652" s="94" t="s">
        <v>69</v>
      </c>
      <c r="H652" s="94" t="s">
        <v>70</v>
      </c>
      <c r="I652" s="94" t="s">
        <v>2437</v>
      </c>
      <c r="J652" s="94" t="s">
        <v>2438</v>
      </c>
      <c r="K652" s="94"/>
      <c r="L652" s="52" t="str">
        <f>HYPERLINK("https://zibs.nl/wiki/part.FarmaceutischProduct-v2.0(2017NL)#","")</f>
        <v/>
      </c>
      <c r="M652" s="94"/>
      <c r="N652" s="53" t="s">
        <v>106</v>
      </c>
      <c r="O652" s="54"/>
    </row>
    <row r="653" spans="1:15" ht="38.25" x14ac:dyDescent="0.25">
      <c r="A653" s="91" t="s">
        <v>2420</v>
      </c>
      <c r="B653" t="s">
        <v>2421</v>
      </c>
      <c r="C653" s="93" t="s">
        <v>2439</v>
      </c>
      <c r="D653" s="93"/>
      <c r="E653" s="94" t="s">
        <v>2440</v>
      </c>
      <c r="F653" s="94" t="s">
        <v>68</v>
      </c>
      <c r="G653" s="94" t="s">
        <v>69</v>
      </c>
      <c r="H653" s="94" t="s">
        <v>70</v>
      </c>
      <c r="I653" s="94" t="s">
        <v>2441</v>
      </c>
      <c r="J653" s="94" t="s">
        <v>2442</v>
      </c>
      <c r="K653" s="94"/>
      <c r="L653" s="52" t="str">
        <f>HYPERLINK("https://zibs.nl/wiki/part.FarmaceutischProduct-v2.0(2017NL)#","")</f>
        <v/>
      </c>
      <c r="M653" s="94"/>
      <c r="N653" s="53" t="s">
        <v>106</v>
      </c>
      <c r="O653" s="54"/>
    </row>
    <row r="654" spans="1:15" ht="114.75" x14ac:dyDescent="0.25">
      <c r="A654" s="91" t="s">
        <v>2420</v>
      </c>
      <c r="B654" t="s">
        <v>2421</v>
      </c>
      <c r="C654" s="105" t="s">
        <v>2443</v>
      </c>
      <c r="D654" s="105"/>
      <c r="E654" s="97" t="s">
        <v>2444</v>
      </c>
      <c r="F654" s="97"/>
      <c r="G654" s="97" t="s">
        <v>158</v>
      </c>
      <c r="H654" s="97" t="s">
        <v>83</v>
      </c>
      <c r="I654" s="97" t="s">
        <v>2445</v>
      </c>
      <c r="J654" s="97" t="s">
        <v>2446</v>
      </c>
      <c r="K654" s="97"/>
      <c r="L654" s="52" t="str">
        <f>HYPERLINK("https://zibs.nl/wiki/part.FarmaceutischProduct-v2.0(2017NL)#","")</f>
        <v/>
      </c>
      <c r="M654" s="97"/>
      <c r="N654" s="53" t="s">
        <v>106</v>
      </c>
      <c r="O654" s="54"/>
    </row>
    <row r="655" spans="1:15" ht="191.25" x14ac:dyDescent="0.25">
      <c r="A655" s="91" t="s">
        <v>2420</v>
      </c>
      <c r="B655" t="s">
        <v>2421</v>
      </c>
      <c r="C655" s="95" t="s">
        <v>2447</v>
      </c>
      <c r="D655" s="106"/>
      <c r="E655" s="102" t="s">
        <v>2448</v>
      </c>
      <c r="F655" s="102" t="s">
        <v>76</v>
      </c>
      <c r="G655" s="102" t="s">
        <v>69</v>
      </c>
      <c r="H655" s="102" t="s">
        <v>70</v>
      </c>
      <c r="I655" s="102" t="s">
        <v>2449</v>
      </c>
      <c r="J655" s="94" t="s">
        <v>2450</v>
      </c>
      <c r="K655" s="102"/>
      <c r="L655" s="52" t="str">
        <f>HYPERLINK("https://zibs.nl/wiki/part.FarmaceutischProduct-v2.0(2017NL)#IngredientCodeATCCodelijst","IngredientCodeATCCodelijst")</f>
        <v>IngredientCodeATCCodelijst</v>
      </c>
      <c r="M655" s="102"/>
      <c r="N655" s="53" t="s">
        <v>106</v>
      </c>
      <c r="O655" s="54"/>
    </row>
    <row r="656" spans="1:15" ht="191.25" x14ac:dyDescent="0.25">
      <c r="A656" s="91" t="s">
        <v>2420</v>
      </c>
      <c r="B656" t="s">
        <v>2421</v>
      </c>
      <c r="C656" s="95" t="s">
        <v>2447</v>
      </c>
      <c r="D656" s="106"/>
      <c r="E656" s="102" t="s">
        <v>2448</v>
      </c>
      <c r="F656" s="102" t="s">
        <v>76</v>
      </c>
      <c r="G656" s="102" t="s">
        <v>69</v>
      </c>
      <c r="H656" s="102" t="s">
        <v>70</v>
      </c>
      <c r="I656" s="102" t="s">
        <v>2449</v>
      </c>
      <c r="J656" s="94" t="s">
        <v>2450</v>
      </c>
      <c r="K656" s="103"/>
      <c r="L656" s="52" t="str">
        <f>HYPERLINK("https://zibs.nl/wiki/part.FarmaceutischProduct-v2.0(2017NL)#IngredientCodeGPKCodelijst","IngredientCodeGPKCodelijst")</f>
        <v>IngredientCodeGPKCodelijst</v>
      </c>
      <c r="M656" s="103"/>
      <c r="N656" s="53" t="s">
        <v>106</v>
      </c>
      <c r="O656" s="54"/>
    </row>
    <row r="657" spans="1:15" ht="191.25" x14ac:dyDescent="0.25">
      <c r="A657" s="91" t="s">
        <v>2420</v>
      </c>
      <c r="B657" t="s">
        <v>2421</v>
      </c>
      <c r="C657" s="95" t="s">
        <v>2447</v>
      </c>
      <c r="D657" s="106"/>
      <c r="E657" s="102" t="s">
        <v>2448</v>
      </c>
      <c r="F657" s="102" t="s">
        <v>76</v>
      </c>
      <c r="G657" s="102" t="s">
        <v>69</v>
      </c>
      <c r="H657" s="102" t="s">
        <v>70</v>
      </c>
      <c r="I657" s="102" t="s">
        <v>2449</v>
      </c>
      <c r="J657" s="94" t="s">
        <v>2450</v>
      </c>
      <c r="K657" s="103"/>
      <c r="L657" s="52" t="str">
        <f>HYPERLINK("https://zibs.nl/wiki/part.FarmaceutischProduct-v2.0(2017NL)#IngredientCodeGTINCodelijst","IngredientCodeGTINCodelijst")</f>
        <v>IngredientCodeGTINCodelijst</v>
      </c>
      <c r="M657" s="103"/>
      <c r="N657" s="53" t="s">
        <v>106</v>
      </c>
      <c r="O657" s="54"/>
    </row>
    <row r="658" spans="1:15" ht="191.25" x14ac:dyDescent="0.25">
      <c r="A658" s="91" t="s">
        <v>2420</v>
      </c>
      <c r="B658" t="s">
        <v>2421</v>
      </c>
      <c r="C658" s="95" t="s">
        <v>2447</v>
      </c>
      <c r="D658" s="106"/>
      <c r="E658" s="102" t="s">
        <v>2448</v>
      </c>
      <c r="F658" s="102" t="s">
        <v>76</v>
      </c>
      <c r="G658" s="102" t="s">
        <v>69</v>
      </c>
      <c r="H658" s="102" t="s">
        <v>70</v>
      </c>
      <c r="I658" s="102" t="s">
        <v>2449</v>
      </c>
      <c r="J658" s="94" t="s">
        <v>2450</v>
      </c>
      <c r="K658" s="103"/>
      <c r="L658" s="52" t="str">
        <f>HYPERLINK("https://zibs.nl/wiki/part.FarmaceutischProduct-v2.0(2017NL)#IngredientCodeHPKCodelijst","IngredientCodeHPKCodelijst")</f>
        <v>IngredientCodeHPKCodelijst</v>
      </c>
      <c r="M658" s="103"/>
      <c r="N658" s="53" t="s">
        <v>106</v>
      </c>
      <c r="O658" s="54"/>
    </row>
    <row r="659" spans="1:15" ht="191.25" x14ac:dyDescent="0.25">
      <c r="A659" s="91" t="s">
        <v>2420</v>
      </c>
      <c r="B659" t="s">
        <v>2421</v>
      </c>
      <c r="C659" s="95" t="s">
        <v>2447</v>
      </c>
      <c r="D659" s="106"/>
      <c r="E659" s="102" t="s">
        <v>2448</v>
      </c>
      <c r="F659" s="102" t="s">
        <v>76</v>
      </c>
      <c r="G659" s="102" t="s">
        <v>69</v>
      </c>
      <c r="H659" s="102" t="s">
        <v>70</v>
      </c>
      <c r="I659" s="102" t="s">
        <v>2449</v>
      </c>
      <c r="J659" s="94" t="s">
        <v>2450</v>
      </c>
      <c r="K659" s="103"/>
      <c r="L659" s="52" t="str">
        <f>HYPERLINK("https://zibs.nl/wiki/part.FarmaceutischProduct-v2.0(2017NL)#IngredientCodePRKCodelijst","IngredientCodePRKCodelijst")</f>
        <v>IngredientCodePRKCodelijst</v>
      </c>
      <c r="M659" s="103"/>
      <c r="N659" s="53" t="s">
        <v>106</v>
      </c>
      <c r="O659" s="54"/>
    </row>
    <row r="660" spans="1:15" ht="191.25" x14ac:dyDescent="0.25">
      <c r="A660" s="91" t="s">
        <v>2420</v>
      </c>
      <c r="B660" t="s">
        <v>2421</v>
      </c>
      <c r="C660" s="95" t="s">
        <v>2447</v>
      </c>
      <c r="D660" s="106"/>
      <c r="E660" s="102" t="s">
        <v>2448</v>
      </c>
      <c r="F660" s="102" t="s">
        <v>76</v>
      </c>
      <c r="G660" s="102" t="s">
        <v>69</v>
      </c>
      <c r="H660" s="102" t="s">
        <v>70</v>
      </c>
      <c r="I660" s="102" t="s">
        <v>2449</v>
      </c>
      <c r="J660" s="94" t="s">
        <v>2450</v>
      </c>
      <c r="K660" s="103"/>
      <c r="L660" s="52" t="str">
        <f>HYPERLINK("https://zibs.nl/wiki/part.FarmaceutischProduct-v2.0(2017NL)#IngredientCodeSNKCodelijst","IngredientCodeSNKCodelijst")</f>
        <v>IngredientCodeSNKCodelijst</v>
      </c>
      <c r="M660" s="103"/>
      <c r="N660" s="53" t="s">
        <v>106</v>
      </c>
      <c r="O660" s="54"/>
    </row>
    <row r="661" spans="1:15" ht="191.25" x14ac:dyDescent="0.25">
      <c r="A661" s="91" t="s">
        <v>2420</v>
      </c>
      <c r="B661" t="s">
        <v>2421</v>
      </c>
      <c r="C661" s="95" t="s">
        <v>2447</v>
      </c>
      <c r="D661" s="106"/>
      <c r="E661" s="102" t="s">
        <v>2448</v>
      </c>
      <c r="F661" s="102" t="s">
        <v>76</v>
      </c>
      <c r="G661" s="102" t="s">
        <v>69</v>
      </c>
      <c r="H661" s="102" t="s">
        <v>70</v>
      </c>
      <c r="I661" s="102" t="s">
        <v>2449</v>
      </c>
      <c r="J661" s="94" t="s">
        <v>2450</v>
      </c>
      <c r="K661" s="103"/>
      <c r="L661" s="52" t="str">
        <f>HYPERLINK("https://zibs.nl/wiki/part.FarmaceutischProduct-v2.0(2017NL)#IngredientCodeSSKCodelijst","IngredientCodeSSKCodelijst")</f>
        <v>IngredientCodeSSKCodelijst</v>
      </c>
      <c r="M661" s="103"/>
      <c r="N661" s="53" t="s">
        <v>106</v>
      </c>
      <c r="O661" s="54"/>
    </row>
    <row r="662" spans="1:15" ht="191.25" x14ac:dyDescent="0.25">
      <c r="A662" s="91" t="s">
        <v>2420</v>
      </c>
      <c r="B662" t="s">
        <v>2421</v>
      </c>
      <c r="C662" s="95" t="s">
        <v>2447</v>
      </c>
      <c r="D662" s="106"/>
      <c r="E662" s="102" t="s">
        <v>2448</v>
      </c>
      <c r="F662" s="102" t="s">
        <v>76</v>
      </c>
      <c r="G662" s="102" t="s">
        <v>69</v>
      </c>
      <c r="H662" s="102" t="s">
        <v>70</v>
      </c>
      <c r="I662" s="102" t="s">
        <v>2449</v>
      </c>
      <c r="J662" s="94" t="s">
        <v>2450</v>
      </c>
      <c r="K662" s="104"/>
      <c r="L662" s="52" t="str">
        <f>HYPERLINK("https://zibs.nl/wiki/part.FarmaceutischProduct-v2.0(2017NL)#IngredientCodeZICodelijst","IngredientCodeZICodelijst")</f>
        <v>IngredientCodeZICodelijst</v>
      </c>
      <c r="M662" s="104"/>
      <c r="N662" s="53" t="s">
        <v>106</v>
      </c>
      <c r="O662" s="54"/>
    </row>
    <row r="663" spans="1:15" ht="51" x14ac:dyDescent="0.25">
      <c r="A663" s="91" t="s">
        <v>2420</v>
      </c>
      <c r="B663" t="s">
        <v>2421</v>
      </c>
      <c r="C663" s="105" t="s">
        <v>2451</v>
      </c>
      <c r="D663" s="105"/>
      <c r="E663" s="97" t="s">
        <v>2452</v>
      </c>
      <c r="F663" s="97"/>
      <c r="G663" s="97" t="s">
        <v>69</v>
      </c>
      <c r="H663" s="97" t="s">
        <v>83</v>
      </c>
      <c r="I663" s="97" t="s">
        <v>2453</v>
      </c>
      <c r="J663" s="97" t="s">
        <v>2454</v>
      </c>
      <c r="K663" s="97"/>
      <c r="L663" s="52" t="str">
        <f>HYPERLINK("https://zibs.nl/wiki/part.FarmaceutischProduct-v2.0(2017NL)#","")</f>
        <v/>
      </c>
      <c r="M663" s="97"/>
      <c r="N663" s="53" t="s">
        <v>106</v>
      </c>
      <c r="O663" s="54"/>
    </row>
    <row r="664" spans="1:15" ht="38.25" x14ac:dyDescent="0.25">
      <c r="A664" s="91" t="s">
        <v>2420</v>
      </c>
      <c r="B664" t="s">
        <v>2421</v>
      </c>
      <c r="C664" s="95" t="s">
        <v>2455</v>
      </c>
      <c r="D664" s="95"/>
      <c r="E664" s="94" t="s">
        <v>2456</v>
      </c>
      <c r="F664" s="94" t="s">
        <v>97</v>
      </c>
      <c r="G664" s="94" t="s">
        <v>69</v>
      </c>
      <c r="H664" s="94" t="s">
        <v>70</v>
      </c>
      <c r="I664" s="94" t="s">
        <v>2457</v>
      </c>
      <c r="J664" s="94" t="s">
        <v>278</v>
      </c>
      <c r="K664" s="94"/>
      <c r="L664" s="52" t="str">
        <f>HYPERLINK("https://zibs.nl/wiki/part.FarmaceutischProduct-v2.0(2017NL)#","")</f>
        <v/>
      </c>
      <c r="M664" s="94"/>
      <c r="N664" s="53" t="s">
        <v>106</v>
      </c>
      <c r="O664" s="54"/>
    </row>
    <row r="665" spans="1:15" ht="38.25" x14ac:dyDescent="0.25">
      <c r="A665" s="91" t="s">
        <v>2420</v>
      </c>
      <c r="B665" t="s">
        <v>2421</v>
      </c>
      <c r="C665" s="95" t="s">
        <v>2458</v>
      </c>
      <c r="D665" s="95"/>
      <c r="E665" s="94" t="s">
        <v>2459</v>
      </c>
      <c r="F665" s="94" t="s">
        <v>97</v>
      </c>
      <c r="G665" s="94" t="s">
        <v>69</v>
      </c>
      <c r="H665" s="94" t="s">
        <v>70</v>
      </c>
      <c r="I665" s="94" t="s">
        <v>2460</v>
      </c>
      <c r="J665" s="94" t="s">
        <v>278</v>
      </c>
      <c r="K665" s="94"/>
      <c r="L665" s="52" t="str">
        <f>HYPERLINK("https://zibs.nl/wiki/part.FarmaceutischProduct-v2.0(2017NL)#","")</f>
        <v/>
      </c>
      <c r="M665" s="94"/>
      <c r="N665" s="53" t="s">
        <v>106</v>
      </c>
      <c r="O665" s="54"/>
    </row>
    <row r="666" spans="1:15" ht="25.5" x14ac:dyDescent="0.25">
      <c r="A666" s="91" t="s">
        <v>2461</v>
      </c>
      <c r="B666" t="s">
        <v>2462</v>
      </c>
      <c r="C666" s="91" t="s">
        <v>2461</v>
      </c>
      <c r="D666" s="91"/>
      <c r="E666" s="92" t="s">
        <v>2463</v>
      </c>
      <c r="F666" s="92"/>
      <c r="G666" s="92"/>
      <c r="H666" s="92" t="s">
        <v>62</v>
      </c>
      <c r="I666" s="92" t="s">
        <v>2464</v>
      </c>
      <c r="J666" s="92" t="s">
        <v>2465</v>
      </c>
      <c r="K666" s="92" t="s">
        <v>2466</v>
      </c>
      <c r="L666" s="52" t="str">
        <f t="shared" ref="L666:L674" si="8">HYPERLINK("https://zibs.nl/wiki/Zwangerschap-v3.1(2017NL)#","")</f>
        <v/>
      </c>
      <c r="M666" s="92"/>
      <c r="N666" s="53"/>
      <c r="O666" s="54"/>
    </row>
    <row r="667" spans="1:15" ht="25.5" x14ac:dyDescent="0.25">
      <c r="A667" s="91" t="s">
        <v>2461</v>
      </c>
      <c r="B667" t="s">
        <v>2462</v>
      </c>
      <c r="C667" s="93" t="s">
        <v>2467</v>
      </c>
      <c r="D667" s="93"/>
      <c r="E667" s="94" t="s">
        <v>2468</v>
      </c>
      <c r="F667" s="94" t="s">
        <v>197</v>
      </c>
      <c r="G667" s="94" t="s">
        <v>77</v>
      </c>
      <c r="H667" s="94" t="s">
        <v>70</v>
      </c>
      <c r="I667" s="94" t="s">
        <v>2469</v>
      </c>
      <c r="J667" s="94" t="s">
        <v>2470</v>
      </c>
      <c r="K667" s="94" t="s">
        <v>2471</v>
      </c>
      <c r="L667" s="52" t="str">
        <f t="shared" si="8"/>
        <v/>
      </c>
      <c r="M667" s="94"/>
      <c r="N667" s="53"/>
      <c r="O667" s="54"/>
    </row>
    <row r="668" spans="1:15" ht="25.5" x14ac:dyDescent="0.25">
      <c r="A668" s="91" t="s">
        <v>2461</v>
      </c>
      <c r="B668" t="s">
        <v>2462</v>
      </c>
      <c r="C668" s="93" t="s">
        <v>2472</v>
      </c>
      <c r="D668" s="93"/>
      <c r="E668" s="94" t="s">
        <v>2473</v>
      </c>
      <c r="F668" s="94" t="s">
        <v>88</v>
      </c>
      <c r="G668" s="94" t="s">
        <v>69</v>
      </c>
      <c r="H668" s="94" t="s">
        <v>70</v>
      </c>
      <c r="I668" s="94" t="s">
        <v>2474</v>
      </c>
      <c r="J668" s="94" t="s">
        <v>2475</v>
      </c>
      <c r="K668" s="94" t="s">
        <v>2476</v>
      </c>
      <c r="L668" s="52" t="str">
        <f t="shared" si="8"/>
        <v/>
      </c>
      <c r="M668" s="94"/>
      <c r="N668" s="53"/>
      <c r="O668" s="54"/>
    </row>
    <row r="669" spans="1:15" ht="38.25" x14ac:dyDescent="0.25">
      <c r="A669" s="91" t="s">
        <v>2461</v>
      </c>
      <c r="B669" t="s">
        <v>2462</v>
      </c>
      <c r="C669" s="93" t="s">
        <v>2477</v>
      </c>
      <c r="D669" s="93"/>
      <c r="E669" s="94" t="s">
        <v>2478</v>
      </c>
      <c r="F669" s="94" t="s">
        <v>88</v>
      </c>
      <c r="G669" s="94" t="s">
        <v>69</v>
      </c>
      <c r="H669" s="94" t="s">
        <v>70</v>
      </c>
      <c r="I669" s="94" t="s">
        <v>2479</v>
      </c>
      <c r="J669" s="94" t="s">
        <v>2480</v>
      </c>
      <c r="K669" s="94" t="s">
        <v>2481</v>
      </c>
      <c r="L669" s="52" t="str">
        <f t="shared" si="8"/>
        <v/>
      </c>
      <c r="M669" s="94"/>
      <c r="N669" s="53"/>
      <c r="O669" s="54"/>
    </row>
    <row r="670" spans="1:15" ht="25.5" x14ac:dyDescent="0.25">
      <c r="A670" s="91" t="s">
        <v>2461</v>
      </c>
      <c r="B670" t="s">
        <v>2462</v>
      </c>
      <c r="C670" s="93" t="s">
        <v>2482</v>
      </c>
      <c r="D670" s="93"/>
      <c r="E670" s="94" t="s">
        <v>2483</v>
      </c>
      <c r="F670" s="94" t="s">
        <v>97</v>
      </c>
      <c r="G670" s="94" t="s">
        <v>69</v>
      </c>
      <c r="H670" s="94" t="s">
        <v>70</v>
      </c>
      <c r="I670" s="94" t="s">
        <v>2484</v>
      </c>
      <c r="J670" s="94" t="s">
        <v>2485</v>
      </c>
      <c r="K670" s="94" t="s">
        <v>2486</v>
      </c>
      <c r="L670" s="52" t="str">
        <f t="shared" si="8"/>
        <v/>
      </c>
      <c r="M670" s="94"/>
      <c r="N670" s="53"/>
      <c r="O670" s="54"/>
    </row>
    <row r="671" spans="1:15" ht="25.5" x14ac:dyDescent="0.25">
      <c r="A671" s="91" t="s">
        <v>2461</v>
      </c>
      <c r="B671" t="s">
        <v>2462</v>
      </c>
      <c r="C671" s="93" t="s">
        <v>2487</v>
      </c>
      <c r="D671" s="93"/>
      <c r="E671" s="94" t="s">
        <v>2488</v>
      </c>
      <c r="F671" s="94" t="s">
        <v>505</v>
      </c>
      <c r="G671" s="94" t="s">
        <v>69</v>
      </c>
      <c r="H671" s="94" t="s">
        <v>70</v>
      </c>
      <c r="I671" s="94" t="s">
        <v>2489</v>
      </c>
      <c r="J671" s="94" t="s">
        <v>2490</v>
      </c>
      <c r="K671" s="94" t="s">
        <v>2491</v>
      </c>
      <c r="L671" s="52" t="str">
        <f t="shared" si="8"/>
        <v/>
      </c>
      <c r="M671" s="94"/>
      <c r="N671" s="53"/>
      <c r="O671" s="54"/>
    </row>
    <row r="672" spans="1:15" ht="15" x14ac:dyDescent="0.25">
      <c r="A672" s="91" t="s">
        <v>2461</v>
      </c>
      <c r="B672" t="s">
        <v>2462</v>
      </c>
      <c r="C672" s="93" t="s">
        <v>2492</v>
      </c>
      <c r="D672" s="93"/>
      <c r="E672" s="94" t="s">
        <v>2493</v>
      </c>
      <c r="F672" s="94" t="s">
        <v>505</v>
      </c>
      <c r="G672" s="94" t="s">
        <v>69</v>
      </c>
      <c r="H672" s="94" t="s">
        <v>70</v>
      </c>
      <c r="I672" s="94" t="s">
        <v>2494</v>
      </c>
      <c r="J672" s="94" t="s">
        <v>2495</v>
      </c>
      <c r="K672" s="94" t="s">
        <v>2496</v>
      </c>
      <c r="L672" s="52" t="str">
        <f t="shared" si="8"/>
        <v/>
      </c>
      <c r="M672" s="94"/>
      <c r="N672" s="53"/>
      <c r="O672" s="54"/>
    </row>
    <row r="673" spans="1:15" ht="15" x14ac:dyDescent="0.25">
      <c r="A673" s="91" t="s">
        <v>2461</v>
      </c>
      <c r="B673" t="s">
        <v>2462</v>
      </c>
      <c r="C673" s="93"/>
      <c r="D673" s="93"/>
      <c r="E673" s="94"/>
      <c r="F673" s="94"/>
      <c r="G673" s="94"/>
      <c r="H673" s="94"/>
      <c r="I673" s="94"/>
      <c r="J673" s="94"/>
      <c r="K673" s="94"/>
      <c r="L673" s="52" t="str">
        <f t="shared" si="8"/>
        <v/>
      </c>
      <c r="M673" s="94"/>
      <c r="N673" s="53"/>
      <c r="O673" s="54"/>
    </row>
    <row r="674" spans="1:15" ht="25.5" x14ac:dyDescent="0.25">
      <c r="A674" s="91" t="s">
        <v>2461</v>
      </c>
      <c r="B674" t="s">
        <v>2462</v>
      </c>
      <c r="C674" s="93" t="s">
        <v>66</v>
      </c>
      <c r="D674" s="93"/>
      <c r="E674" s="94" t="s">
        <v>67</v>
      </c>
      <c r="F674" s="94" t="s">
        <v>68</v>
      </c>
      <c r="G674" s="94" t="s">
        <v>69</v>
      </c>
      <c r="H674" s="94" t="s">
        <v>70</v>
      </c>
      <c r="I674" s="94" t="s">
        <v>2497</v>
      </c>
      <c r="J674" s="94" t="s">
        <v>2498</v>
      </c>
      <c r="K674" s="94" t="s">
        <v>73</v>
      </c>
      <c r="L674" s="52" t="str">
        <f t="shared" si="8"/>
        <v/>
      </c>
      <c r="M674" s="94"/>
      <c r="N674" s="53"/>
      <c r="O674" s="54"/>
    </row>
    <row r="675" spans="1:15" ht="25.5" x14ac:dyDescent="0.25">
      <c r="A675" s="91" t="s">
        <v>22</v>
      </c>
      <c r="B675" t="s">
        <v>2499</v>
      </c>
      <c r="C675" s="91" t="s">
        <v>22</v>
      </c>
      <c r="D675" s="91"/>
      <c r="E675" s="92" t="s">
        <v>1149</v>
      </c>
      <c r="F675" s="92"/>
      <c r="G675" s="92"/>
      <c r="H675" s="92" t="s">
        <v>62</v>
      </c>
      <c r="I675" s="92" t="s">
        <v>2500</v>
      </c>
      <c r="J675" s="92" t="s">
        <v>2501</v>
      </c>
      <c r="K675" s="92"/>
      <c r="L675" s="52" t="str">
        <f>HYPERLINK("https://zibs.nl/wiki/Zorgaanbieder-v3.1.1(2017NL)#","")</f>
        <v/>
      </c>
      <c r="M675" s="92"/>
      <c r="N675" s="53"/>
      <c r="O675" s="54"/>
    </row>
    <row r="676" spans="1:15" ht="51" x14ac:dyDescent="0.25">
      <c r="A676" s="91" t="s">
        <v>22</v>
      </c>
      <c r="B676" t="s">
        <v>2499</v>
      </c>
      <c r="C676" s="93" t="s">
        <v>2502</v>
      </c>
      <c r="D676" s="93"/>
      <c r="E676" s="94" t="s">
        <v>2503</v>
      </c>
      <c r="F676" s="94" t="s">
        <v>285</v>
      </c>
      <c r="G676" s="94" t="s">
        <v>158</v>
      </c>
      <c r="H676" s="94" t="s">
        <v>70</v>
      </c>
      <c r="I676" s="94" t="s">
        <v>2504</v>
      </c>
      <c r="J676" s="94" t="s">
        <v>2505</v>
      </c>
      <c r="K676" s="94"/>
      <c r="L676" s="52" t="str">
        <f>HYPERLINK("https://zibs.nl/wiki/Zorgaanbieder-v3.1.1(2017NL)#UZI register abonneenummer (URA)","UZI register abonneenummer (URA)")</f>
        <v>UZI register abonneenummer (URA)</v>
      </c>
      <c r="M676" s="94"/>
      <c r="N676" s="53"/>
      <c r="O676" s="54"/>
    </row>
    <row r="677" spans="1:15" ht="15" x14ac:dyDescent="0.25">
      <c r="A677" s="91" t="s">
        <v>22</v>
      </c>
      <c r="B677" t="s">
        <v>2499</v>
      </c>
      <c r="C677" s="93"/>
      <c r="D677" s="93"/>
      <c r="E677" s="94"/>
      <c r="F677" s="94"/>
      <c r="G677" s="94"/>
      <c r="H677" s="94"/>
      <c r="I677" s="94"/>
      <c r="J677" s="94"/>
      <c r="K677" s="94"/>
      <c r="L677" s="52" t="str">
        <f>HYPERLINK("https://zibs.nl/wiki/Zorgaanbieder-v3.1.1(2017NL)#Vektis AGB-zorgverlener tabel","Vektis AGB-zorgverlener tabel")</f>
        <v>Vektis AGB-zorgverlener tabel</v>
      </c>
      <c r="M677" s="94"/>
      <c r="N677" s="53"/>
      <c r="O677" s="54"/>
    </row>
    <row r="678" spans="1:15" ht="25.5" x14ac:dyDescent="0.25">
      <c r="A678" s="91" t="s">
        <v>22</v>
      </c>
      <c r="B678" t="s">
        <v>2499</v>
      </c>
      <c r="C678" s="93" t="s">
        <v>288</v>
      </c>
      <c r="D678" s="93"/>
      <c r="E678" s="94" t="s">
        <v>289</v>
      </c>
      <c r="F678" s="94" t="s">
        <v>68</v>
      </c>
      <c r="G678" s="94" t="s">
        <v>69</v>
      </c>
      <c r="H678" s="94" t="s">
        <v>70</v>
      </c>
      <c r="I678" s="94" t="s">
        <v>2506</v>
      </c>
      <c r="J678" s="94" t="s">
        <v>2507</v>
      </c>
      <c r="K678" s="94"/>
      <c r="L678" s="52" t="str">
        <f>HYPERLINK("https://zibs.nl/wiki/Zorgaanbieder-v3.1.1(2017NL)#","")</f>
        <v/>
      </c>
      <c r="M678" s="94"/>
      <c r="N678" s="53"/>
      <c r="O678" s="54"/>
    </row>
    <row r="679" spans="1:15" ht="25.5" x14ac:dyDescent="0.25">
      <c r="A679" s="91" t="s">
        <v>22</v>
      </c>
      <c r="B679" t="s">
        <v>2499</v>
      </c>
      <c r="C679" s="93" t="s">
        <v>2508</v>
      </c>
      <c r="D679" s="93"/>
      <c r="E679" s="94" t="s">
        <v>2509</v>
      </c>
      <c r="F679" s="94" t="s">
        <v>68</v>
      </c>
      <c r="G679" s="94" t="s">
        <v>69</v>
      </c>
      <c r="H679" s="94" t="s">
        <v>70</v>
      </c>
      <c r="I679" s="94" t="s">
        <v>2510</v>
      </c>
      <c r="J679" s="94" t="s">
        <v>2511</v>
      </c>
      <c r="K679" s="94"/>
      <c r="L679" s="52" t="str">
        <f>HYPERLINK("https://zibs.nl/wiki/Zorgaanbieder-v3.1.1(2017NL)#","")</f>
        <v/>
      </c>
      <c r="M679" s="94"/>
      <c r="N679" s="53"/>
      <c r="O679" s="54"/>
    </row>
    <row r="680" spans="1:15" ht="38.25" x14ac:dyDescent="0.25">
      <c r="A680" s="91" t="s">
        <v>22</v>
      </c>
      <c r="B680" t="s">
        <v>2499</v>
      </c>
      <c r="C680" s="93" t="s">
        <v>2512</v>
      </c>
      <c r="D680" s="93"/>
      <c r="E680" s="94" t="s">
        <v>2513</v>
      </c>
      <c r="F680" s="94" t="s">
        <v>76</v>
      </c>
      <c r="G680" s="94" t="s">
        <v>69</v>
      </c>
      <c r="H680" s="94" t="s">
        <v>70</v>
      </c>
      <c r="I680" s="94" t="s">
        <v>2514</v>
      </c>
      <c r="J680" s="94" t="s">
        <v>2515</v>
      </c>
      <c r="K680" s="94"/>
      <c r="L680" s="52" t="str">
        <f>HYPERLINK("https://zibs.nl/wiki/Zorgaanbieder-v3.1.1(2017NL)#AfdelingSpecialismeCodelijst","AfdelingSpecialismeCodelijst")</f>
        <v>AfdelingSpecialismeCodelijst</v>
      </c>
      <c r="M680" s="94"/>
      <c r="N680" s="53"/>
      <c r="O680" s="54"/>
    </row>
    <row r="681" spans="1:15" ht="25.5" x14ac:dyDescent="0.25">
      <c r="A681" s="91" t="s">
        <v>22</v>
      </c>
      <c r="B681" t="s">
        <v>2499</v>
      </c>
      <c r="C681" s="93" t="s">
        <v>300</v>
      </c>
      <c r="D681" s="93"/>
      <c r="E681" s="94" t="s">
        <v>301</v>
      </c>
      <c r="F681" s="94"/>
      <c r="G681" s="94" t="s">
        <v>69</v>
      </c>
      <c r="H681" s="94" t="s">
        <v>110</v>
      </c>
      <c r="I681" s="94" t="s">
        <v>2516</v>
      </c>
      <c r="J681" s="94" t="s">
        <v>2517</v>
      </c>
      <c r="K681" s="94"/>
      <c r="L681" s="98" t="s">
        <v>376</v>
      </c>
      <c r="M681" s="94"/>
      <c r="N681" s="53"/>
      <c r="O681" s="54"/>
    </row>
    <row r="682" spans="1:15" ht="25.5" x14ac:dyDescent="0.25">
      <c r="A682" s="91" t="s">
        <v>22</v>
      </c>
      <c r="B682" t="s">
        <v>2499</v>
      </c>
      <c r="C682" s="93" t="s">
        <v>295</v>
      </c>
      <c r="D682" s="93"/>
      <c r="E682" s="94" t="s">
        <v>296</v>
      </c>
      <c r="F682" s="94"/>
      <c r="G682" s="94" t="s">
        <v>69</v>
      </c>
      <c r="H682" s="94" t="s">
        <v>110</v>
      </c>
      <c r="I682" s="94" t="s">
        <v>2518</v>
      </c>
      <c r="J682" s="94" t="s">
        <v>2519</v>
      </c>
      <c r="K682" s="94"/>
      <c r="L682" s="98" t="s">
        <v>2520</v>
      </c>
      <c r="M682" s="94"/>
      <c r="N682" s="53"/>
      <c r="O682" s="54"/>
    </row>
    <row r="683" spans="1:15" ht="38.25" x14ac:dyDescent="0.25">
      <c r="A683" s="91" t="s">
        <v>22</v>
      </c>
      <c r="B683" t="s">
        <v>2499</v>
      </c>
      <c r="C683" s="93" t="s">
        <v>2521</v>
      </c>
      <c r="D683" s="93"/>
      <c r="E683" s="94" t="s">
        <v>2522</v>
      </c>
      <c r="F683" s="94" t="s">
        <v>76</v>
      </c>
      <c r="G683" s="94" t="s">
        <v>69</v>
      </c>
      <c r="H683" s="94" t="s">
        <v>70</v>
      </c>
      <c r="I683" s="94" t="s">
        <v>2523</v>
      </c>
      <c r="J683" s="94" t="s">
        <v>2524</v>
      </c>
      <c r="K683" s="94"/>
      <c r="L683" s="52" t="str">
        <f>HYPERLINK("https://zibs.nl/wiki/Zorgaanbieder-v3.1.1(2017NL)#OrganisatieTypeCodelijst","OrganisatieTypeCodelijst")</f>
        <v>OrganisatieTypeCodelijst</v>
      </c>
      <c r="M683" s="94"/>
      <c r="N683" s="53"/>
      <c r="O683" s="54"/>
    </row>
    <row r="684" spans="1:15" ht="25.5" x14ac:dyDescent="0.25">
      <c r="A684" s="91" t="s">
        <v>2525</v>
      </c>
      <c r="B684" t="s">
        <v>2526</v>
      </c>
      <c r="C684" s="91" t="s">
        <v>2525</v>
      </c>
      <c r="D684" s="91"/>
      <c r="E684" s="92" t="s">
        <v>2527</v>
      </c>
      <c r="F684" s="92"/>
      <c r="G684" s="92"/>
      <c r="H684" s="92" t="s">
        <v>62</v>
      </c>
      <c r="I684" s="92" t="s">
        <v>2528</v>
      </c>
      <c r="J684" s="92" t="s">
        <v>2529</v>
      </c>
      <c r="K684" s="92"/>
      <c r="L684" s="52" t="str">
        <f>HYPERLINK("https://zibs.nl/wiki/VermogenTotZichKleden-v3.1(2017NL)#","")</f>
        <v/>
      </c>
      <c r="M684" s="92"/>
      <c r="N684" s="53"/>
      <c r="O684" s="54"/>
    </row>
    <row r="685" spans="1:15" ht="25.5" x14ac:dyDescent="0.25">
      <c r="A685" s="91" t="s">
        <v>2525</v>
      </c>
      <c r="B685" t="s">
        <v>2526</v>
      </c>
      <c r="C685" s="93" t="s">
        <v>2530</v>
      </c>
      <c r="D685" s="93"/>
      <c r="E685" s="94" t="s">
        <v>2531</v>
      </c>
      <c r="F685" s="94" t="s">
        <v>474</v>
      </c>
      <c r="G685" s="94" t="s">
        <v>77</v>
      </c>
      <c r="H685" s="94" t="s">
        <v>70</v>
      </c>
      <c r="I685" s="94" t="s">
        <v>2532</v>
      </c>
      <c r="J685" s="94" t="s">
        <v>2533</v>
      </c>
      <c r="K685" s="94" t="s">
        <v>2534</v>
      </c>
      <c r="L685" s="52" t="str">
        <f>HYPERLINK("https://zibs.nl/wiki/VermogenTotZichKleden-v3.1(2017NL)#ZichKledenCodelijst","ZichKledenCodelijst")</f>
        <v>ZichKledenCodelijst</v>
      </c>
      <c r="M685" s="94"/>
      <c r="N685" s="53"/>
      <c r="O685" s="54"/>
    </row>
    <row r="686" spans="1:15" ht="25.5" x14ac:dyDescent="0.25">
      <c r="A686" s="91" t="s">
        <v>2525</v>
      </c>
      <c r="B686" t="s">
        <v>2526</v>
      </c>
      <c r="C686" s="93" t="s">
        <v>2535</v>
      </c>
      <c r="D686" s="93"/>
      <c r="E686" s="94" t="s">
        <v>2536</v>
      </c>
      <c r="F686" s="94" t="s">
        <v>76</v>
      </c>
      <c r="G686" s="94" t="s">
        <v>158</v>
      </c>
      <c r="H686" s="94" t="s">
        <v>70</v>
      </c>
      <c r="I686" s="94" t="s">
        <v>2537</v>
      </c>
      <c r="J686" s="94" t="s">
        <v>2538</v>
      </c>
      <c r="K686" s="94" t="s">
        <v>2539</v>
      </c>
      <c r="L686" s="52" t="str">
        <f>HYPERLINK("https://zibs.nl/wiki/VermogenTotZichKleden-v3.1(2017NL)#TeKledenLichaamsdeelCodelijst","TeKledenLichaamsdeelCodelijst")</f>
        <v>TeKledenLichaamsdeelCodelijst</v>
      </c>
      <c r="M686" s="94"/>
      <c r="N686" s="53"/>
      <c r="O686" s="54"/>
    </row>
    <row r="687" spans="1:15" ht="25.5" x14ac:dyDescent="0.25">
      <c r="A687" s="91" t="s">
        <v>2540</v>
      </c>
      <c r="B687" t="s">
        <v>2541</v>
      </c>
      <c r="C687" s="91" t="s">
        <v>2540</v>
      </c>
      <c r="D687" s="91"/>
      <c r="E687" s="92" t="s">
        <v>2542</v>
      </c>
      <c r="F687" s="92"/>
      <c r="G687" s="92"/>
      <c r="H687" s="92" t="s">
        <v>62</v>
      </c>
      <c r="I687" s="92" t="s">
        <v>2543</v>
      </c>
      <c r="J687" s="92" t="s">
        <v>2544</v>
      </c>
      <c r="K687" s="92"/>
      <c r="L687" s="52" t="str">
        <f>HYPERLINK("https://zibs.nl/wiki/VoedingspatroonZuigeling-v1.0(2017NL)#","")</f>
        <v/>
      </c>
      <c r="M687" s="92"/>
      <c r="N687" s="53"/>
      <c r="O687" s="54"/>
    </row>
    <row r="688" spans="1:15" ht="38.25" x14ac:dyDescent="0.25">
      <c r="A688" s="91" t="s">
        <v>2540</v>
      </c>
      <c r="B688" t="s">
        <v>2541</v>
      </c>
      <c r="C688" s="93" t="s">
        <v>2545</v>
      </c>
      <c r="D688" s="93"/>
      <c r="E688" s="94" t="s">
        <v>2546</v>
      </c>
      <c r="F688" s="94" t="s">
        <v>88</v>
      </c>
      <c r="G688" s="94" t="s">
        <v>77</v>
      </c>
      <c r="H688" s="94" t="s">
        <v>70</v>
      </c>
      <c r="I688" s="94" t="s">
        <v>2547</v>
      </c>
      <c r="J688" s="94" t="s">
        <v>2548</v>
      </c>
      <c r="K688" s="94"/>
      <c r="L688" s="52" t="str">
        <f>HYPERLINK("https://zibs.nl/wiki/VoedingspatroonZuigeling-v1.0(2017NL)#","")</f>
        <v/>
      </c>
      <c r="M688" s="94"/>
      <c r="N688" s="53"/>
      <c r="O688" s="54"/>
    </row>
    <row r="689" spans="1:15" ht="25.5" x14ac:dyDescent="0.25">
      <c r="A689" s="91" t="s">
        <v>2540</v>
      </c>
      <c r="B689" t="s">
        <v>2541</v>
      </c>
      <c r="C689" s="93" t="s">
        <v>2549</v>
      </c>
      <c r="D689" s="93"/>
      <c r="E689" s="94" t="s">
        <v>2550</v>
      </c>
      <c r="F689" s="94" t="s">
        <v>68</v>
      </c>
      <c r="G689" s="94" t="s">
        <v>69</v>
      </c>
      <c r="H689" s="94" t="s">
        <v>70</v>
      </c>
      <c r="I689" s="94" t="s">
        <v>2551</v>
      </c>
      <c r="J689" s="94" t="s">
        <v>2552</v>
      </c>
      <c r="K689" s="94"/>
      <c r="L689" s="52" t="str">
        <f>HYPERLINK("https://zibs.nl/wiki/VoedingspatroonZuigeling-v1.0(2017NL)#","")</f>
        <v/>
      </c>
      <c r="M689" s="94"/>
      <c r="N689" s="53"/>
      <c r="O689" s="54"/>
    </row>
    <row r="690" spans="1:15" ht="38.25" x14ac:dyDescent="0.25">
      <c r="A690" s="91" t="s">
        <v>2540</v>
      </c>
      <c r="B690" t="s">
        <v>2541</v>
      </c>
      <c r="C690" s="93" t="s">
        <v>2553</v>
      </c>
      <c r="D690" s="93"/>
      <c r="E690" s="94" t="s">
        <v>2554</v>
      </c>
      <c r="F690" s="94" t="s">
        <v>97</v>
      </c>
      <c r="G690" s="94" t="s">
        <v>69</v>
      </c>
      <c r="H690" s="94" t="s">
        <v>70</v>
      </c>
      <c r="I690" s="94" t="s">
        <v>2555</v>
      </c>
      <c r="J690" s="94" t="s">
        <v>2556</v>
      </c>
      <c r="K690" s="94" t="s">
        <v>2557</v>
      </c>
      <c r="L690" s="52" t="str">
        <f>HYPERLINK("https://zibs.nl/wiki/VoedingspatroonZuigeling-v1.0(2017NL)#","")</f>
        <v/>
      </c>
      <c r="M690" s="94"/>
      <c r="N690" s="53"/>
      <c r="O690" s="54"/>
    </row>
    <row r="691" spans="1:15" ht="25.5" x14ac:dyDescent="0.25">
      <c r="A691" s="91" t="s">
        <v>2540</v>
      </c>
      <c r="B691" t="s">
        <v>2541</v>
      </c>
      <c r="C691" s="93" t="s">
        <v>66</v>
      </c>
      <c r="D691" s="93"/>
      <c r="E691" s="94" t="s">
        <v>67</v>
      </c>
      <c r="F691" s="94" t="s">
        <v>68</v>
      </c>
      <c r="G691" s="94" t="s">
        <v>69</v>
      </c>
      <c r="H691" s="94" t="s">
        <v>70</v>
      </c>
      <c r="I691" s="94" t="s">
        <v>2558</v>
      </c>
      <c r="J691" s="94" t="s">
        <v>2559</v>
      </c>
      <c r="K691" s="94" t="s">
        <v>73</v>
      </c>
      <c r="L691" s="52" t="str">
        <f>HYPERLINK("https://zibs.nl/wiki/VoedingspatroonZuigeling-v1.0(2017NL)#","")</f>
        <v/>
      </c>
      <c r="M691" s="94"/>
      <c r="N691" s="53"/>
      <c r="O691" s="54"/>
    </row>
    <row r="692" spans="1:15" ht="25.5" x14ac:dyDescent="0.25">
      <c r="A692" s="91" t="s">
        <v>2540</v>
      </c>
      <c r="B692" t="s">
        <v>2541</v>
      </c>
      <c r="C692" s="93" t="s">
        <v>1071</v>
      </c>
      <c r="D692" s="93"/>
      <c r="E692" s="94" t="s">
        <v>1073</v>
      </c>
      <c r="F692" s="94"/>
      <c r="G692" s="94" t="s">
        <v>69</v>
      </c>
      <c r="H692" s="94" t="s">
        <v>399</v>
      </c>
      <c r="I692" s="94" t="s">
        <v>2560</v>
      </c>
      <c r="J692" s="94" t="s">
        <v>2561</v>
      </c>
      <c r="K692" s="94"/>
      <c r="L692" s="98" t="s">
        <v>2562</v>
      </c>
      <c r="M692" s="94"/>
      <c r="N692" s="53"/>
      <c r="O692" s="54"/>
    </row>
    <row r="693" spans="1:15" ht="89.25" x14ac:dyDescent="0.25">
      <c r="A693" s="91" t="s">
        <v>2540</v>
      </c>
      <c r="B693" t="s">
        <v>2541</v>
      </c>
      <c r="C693" s="96" t="s">
        <v>2563</v>
      </c>
      <c r="D693" s="96"/>
      <c r="E693" s="97" t="s">
        <v>1315</v>
      </c>
      <c r="F693" s="97"/>
      <c r="G693" s="97" t="s">
        <v>158</v>
      </c>
      <c r="H693" s="97" t="s">
        <v>83</v>
      </c>
      <c r="I693" s="97" t="s">
        <v>2564</v>
      </c>
      <c r="J693" s="97" t="s">
        <v>2565</v>
      </c>
      <c r="K693" s="97"/>
      <c r="L693" s="52" t="str">
        <f>HYPERLINK("https://zibs.nl/wiki/VoedingspatroonZuigeling-v1.0(2017NL)#","")</f>
        <v/>
      </c>
      <c r="M693" s="97"/>
      <c r="N693" s="53"/>
      <c r="O693" s="54"/>
    </row>
    <row r="694" spans="1:15" ht="15" x14ac:dyDescent="0.25">
      <c r="A694" s="91" t="s">
        <v>2540</v>
      </c>
      <c r="B694" t="s">
        <v>2541</v>
      </c>
      <c r="C694" s="93" t="s">
        <v>2566</v>
      </c>
      <c r="D694" s="93"/>
      <c r="E694" s="94" t="s">
        <v>2567</v>
      </c>
      <c r="F694" s="94" t="s">
        <v>76</v>
      </c>
      <c r="G694" s="94" t="s">
        <v>69</v>
      </c>
      <c r="H694" s="94" t="s">
        <v>70</v>
      </c>
      <c r="I694" s="94" t="s">
        <v>2568</v>
      </c>
      <c r="J694" s="94" t="s">
        <v>2569</v>
      </c>
      <c r="K694" s="94"/>
      <c r="L694" s="52" t="str">
        <f>HYPERLINK("https://zibs.nl/wiki/VoedingspatroonZuigeling-v1.0(2017NL)#VoedingSoortCodelijst","VoedingSoortCodelijst")</f>
        <v>VoedingSoortCodelijst</v>
      </c>
      <c r="M694" s="94"/>
      <c r="N694" s="53"/>
      <c r="O694" s="54"/>
    </row>
    <row r="695" spans="1:15" ht="15" x14ac:dyDescent="0.25">
      <c r="A695" s="91" t="s">
        <v>2540</v>
      </c>
      <c r="B695" t="s">
        <v>2541</v>
      </c>
      <c r="C695" s="93" t="s">
        <v>2570</v>
      </c>
      <c r="D695" s="93"/>
      <c r="E695" s="94" t="s">
        <v>2571</v>
      </c>
      <c r="F695" s="94" t="s">
        <v>76</v>
      </c>
      <c r="G695" s="94" t="s">
        <v>69</v>
      </c>
      <c r="H695" s="94" t="s">
        <v>70</v>
      </c>
      <c r="I695" s="94" t="s">
        <v>2572</v>
      </c>
      <c r="J695" s="94" t="s">
        <v>2573</v>
      </c>
      <c r="K695" s="94"/>
      <c r="L695" s="52" t="str">
        <f>HYPERLINK("https://zibs.nl/wiki/VoedingspatroonZuigeling-v1.0(2017NL)#VoedingMethodeCodelijst","VoedingMethodeCodelijst")</f>
        <v>VoedingMethodeCodelijst</v>
      </c>
      <c r="M695" s="94"/>
      <c r="N695" s="53"/>
      <c r="O695" s="54"/>
    </row>
    <row r="696" spans="1:15" ht="25.5" x14ac:dyDescent="0.25">
      <c r="A696" s="91" t="s">
        <v>2574</v>
      </c>
      <c r="B696" t="s">
        <v>2575</v>
      </c>
      <c r="C696" s="91" t="s">
        <v>2574</v>
      </c>
      <c r="D696" s="91"/>
      <c r="E696" s="92" t="s">
        <v>2576</v>
      </c>
      <c r="F696" s="92"/>
      <c r="G696" s="92"/>
      <c r="H696" s="92" t="s">
        <v>62</v>
      </c>
      <c r="I696" s="92" t="s">
        <v>2577</v>
      </c>
      <c r="J696" s="92" t="s">
        <v>2578</v>
      </c>
      <c r="K696" s="92"/>
      <c r="L696" s="52" t="str">
        <f>HYPERLINK("https://zibs.nl/wiki/VermogenTotUiterlijkeVerzorging-v1.0(2017NL)#","")</f>
        <v/>
      </c>
      <c r="M696" s="92"/>
      <c r="N696" s="53"/>
      <c r="O696" s="54"/>
    </row>
    <row r="697" spans="1:15" ht="51" x14ac:dyDescent="0.25">
      <c r="A697" s="91" t="s">
        <v>2574</v>
      </c>
      <c r="B697" t="s">
        <v>2575</v>
      </c>
      <c r="C697" s="93" t="s">
        <v>1307</v>
      </c>
      <c r="D697" s="93"/>
      <c r="E697" s="94" t="s">
        <v>1308</v>
      </c>
      <c r="F697" s="94" t="s">
        <v>474</v>
      </c>
      <c r="G697" s="94" t="s">
        <v>77</v>
      </c>
      <c r="H697" s="94" t="s">
        <v>70</v>
      </c>
      <c r="I697" s="94" t="s">
        <v>2579</v>
      </c>
      <c r="J697" s="94" t="s">
        <v>2580</v>
      </c>
      <c r="K697" s="94" t="s">
        <v>2581</v>
      </c>
      <c r="L697" s="52" t="str">
        <f>HYPERLINK("https://zibs.nl/wiki/VermogenTotUiterlijkeVerzorging-v1.0(2017NL)#UiterlijkeVerzorgingCodelijst","UiterlijkeVerzorgingCodelijst")</f>
        <v>UiterlijkeVerzorgingCodelijst</v>
      </c>
      <c r="M697" s="94"/>
      <c r="N697" s="53"/>
      <c r="O697" s="54"/>
    </row>
    <row r="698" spans="1:15" ht="25.5" x14ac:dyDescent="0.25">
      <c r="A698" s="91" t="s">
        <v>2582</v>
      </c>
      <c r="B698" t="s">
        <v>2583</v>
      </c>
      <c r="C698" s="91" t="s">
        <v>2582</v>
      </c>
      <c r="D698" s="91"/>
      <c r="E698" s="92" t="s">
        <v>2584</v>
      </c>
      <c r="F698" s="92"/>
      <c r="G698" s="92"/>
      <c r="H698" s="92" t="s">
        <v>62</v>
      </c>
      <c r="I698" s="92" t="s">
        <v>2585</v>
      </c>
      <c r="J698" s="92" t="s">
        <v>2586</v>
      </c>
      <c r="K698" s="92"/>
      <c r="L698" s="52" t="str">
        <f t="shared" ref="L698:L703" si="9">HYPERLINK("https://zibs.nl/wiki/Vochtbalans-v1.0(2017NL)#","")</f>
        <v/>
      </c>
      <c r="M698" s="92"/>
      <c r="N698" s="53"/>
      <c r="O698" s="54"/>
    </row>
    <row r="699" spans="1:15" ht="25.5" x14ac:dyDescent="0.25">
      <c r="A699" s="91" t="s">
        <v>2582</v>
      </c>
      <c r="B699" t="s">
        <v>2583</v>
      </c>
      <c r="C699" s="93" t="s">
        <v>66</v>
      </c>
      <c r="D699" s="93"/>
      <c r="E699" s="94" t="s">
        <v>67</v>
      </c>
      <c r="F699" s="94" t="s">
        <v>68</v>
      </c>
      <c r="G699" s="94" t="s">
        <v>69</v>
      </c>
      <c r="H699" s="94" t="s">
        <v>70</v>
      </c>
      <c r="I699" s="94" t="s">
        <v>2587</v>
      </c>
      <c r="J699" s="94" t="s">
        <v>2588</v>
      </c>
      <c r="K699" s="94" t="s">
        <v>73</v>
      </c>
      <c r="L699" s="52" t="str">
        <f t="shared" si="9"/>
        <v/>
      </c>
      <c r="M699" s="94"/>
      <c r="N699" s="53"/>
      <c r="O699" s="54"/>
    </row>
    <row r="700" spans="1:15" ht="25.5" x14ac:dyDescent="0.25">
      <c r="A700" s="91" t="s">
        <v>2582</v>
      </c>
      <c r="B700" t="s">
        <v>2583</v>
      </c>
      <c r="C700" s="93" t="s">
        <v>2589</v>
      </c>
      <c r="D700" s="93"/>
      <c r="E700" s="94" t="s">
        <v>2590</v>
      </c>
      <c r="F700" s="94" t="s">
        <v>97</v>
      </c>
      <c r="G700" s="94" t="s">
        <v>69</v>
      </c>
      <c r="H700" s="94" t="s">
        <v>70</v>
      </c>
      <c r="I700" s="94" t="s">
        <v>2591</v>
      </c>
      <c r="J700" s="94" t="s">
        <v>2592</v>
      </c>
      <c r="K700" s="94" t="s">
        <v>2593</v>
      </c>
      <c r="L700" s="52" t="str">
        <f t="shared" si="9"/>
        <v/>
      </c>
      <c r="M700" s="94"/>
      <c r="N700" s="53"/>
      <c r="O700" s="54"/>
    </row>
    <row r="701" spans="1:15" ht="25.5" x14ac:dyDescent="0.25">
      <c r="A701" s="91" t="s">
        <v>2582</v>
      </c>
      <c r="B701" t="s">
        <v>2583</v>
      </c>
      <c r="C701" s="93" t="s">
        <v>2594</v>
      </c>
      <c r="D701" s="93"/>
      <c r="E701" s="94" t="s">
        <v>2595</v>
      </c>
      <c r="F701" s="94" t="s">
        <v>97</v>
      </c>
      <c r="G701" s="94" t="s">
        <v>69</v>
      </c>
      <c r="H701" s="94" t="s">
        <v>70</v>
      </c>
      <c r="I701" s="94" t="s">
        <v>2596</v>
      </c>
      <c r="J701" s="94" t="s">
        <v>2597</v>
      </c>
      <c r="K701" s="94" t="s">
        <v>2598</v>
      </c>
      <c r="L701" s="52" t="str">
        <f t="shared" si="9"/>
        <v/>
      </c>
      <c r="M701" s="94"/>
      <c r="N701" s="53"/>
      <c r="O701" s="54"/>
    </row>
    <row r="702" spans="1:15" ht="25.5" x14ac:dyDescent="0.25">
      <c r="A702" s="91" t="s">
        <v>2582</v>
      </c>
      <c r="B702" t="s">
        <v>2583</v>
      </c>
      <c r="C702" s="93" t="s">
        <v>2599</v>
      </c>
      <c r="D702" s="93"/>
      <c r="E702" s="94" t="s">
        <v>2600</v>
      </c>
      <c r="F702" s="94" t="s">
        <v>88</v>
      </c>
      <c r="G702" s="94" t="s">
        <v>77</v>
      </c>
      <c r="H702" s="94" t="s">
        <v>70</v>
      </c>
      <c r="I702" s="94" t="s">
        <v>2601</v>
      </c>
      <c r="J702" s="94" t="s">
        <v>2602</v>
      </c>
      <c r="K702" s="94"/>
      <c r="L702" s="52" t="str">
        <f t="shared" si="9"/>
        <v/>
      </c>
      <c r="M702" s="94"/>
      <c r="N702" s="53"/>
      <c r="O702" s="54"/>
    </row>
    <row r="703" spans="1:15" ht="25.5" x14ac:dyDescent="0.25">
      <c r="A703" s="91" t="s">
        <v>2582</v>
      </c>
      <c r="B703" t="s">
        <v>2583</v>
      </c>
      <c r="C703" s="93" t="s">
        <v>2603</v>
      </c>
      <c r="D703" s="93"/>
      <c r="E703" s="94" t="s">
        <v>2604</v>
      </c>
      <c r="F703" s="94" t="s">
        <v>88</v>
      </c>
      <c r="G703" s="94" t="s">
        <v>77</v>
      </c>
      <c r="H703" s="94" t="s">
        <v>70</v>
      </c>
      <c r="I703" s="94" t="s">
        <v>2605</v>
      </c>
      <c r="J703" s="94" t="s">
        <v>2606</v>
      </c>
      <c r="K703" s="94"/>
      <c r="L703" s="52" t="str">
        <f t="shared" si="9"/>
        <v/>
      </c>
      <c r="M703" s="94"/>
      <c r="N703" s="53"/>
      <c r="O703" s="54"/>
    </row>
    <row r="704" spans="1:15" ht="38.25" x14ac:dyDescent="0.25">
      <c r="A704" s="91" t="s">
        <v>2607</v>
      </c>
      <c r="B704" t="s">
        <v>2608</v>
      </c>
      <c r="C704" s="91" t="s">
        <v>2607</v>
      </c>
      <c r="D704" s="91"/>
      <c r="E704" s="92" t="s">
        <v>2609</v>
      </c>
      <c r="F704" s="92"/>
      <c r="G704" s="92"/>
      <c r="H704" s="92" t="s">
        <v>62</v>
      </c>
      <c r="I704" s="92" t="s">
        <v>2610</v>
      </c>
      <c r="J704" s="92" t="s">
        <v>2611</v>
      </c>
      <c r="K704" s="92"/>
      <c r="L704" s="52" t="str">
        <f>HYPERLINK("https://zibs.nl/wiki/VrijheidsbeperkendeMaatregelen-v3.1(2017NL)#","")</f>
        <v/>
      </c>
      <c r="M704" s="92"/>
      <c r="N704" s="53"/>
      <c r="O704" s="54"/>
    </row>
    <row r="705" spans="1:15" ht="25.5" x14ac:dyDescent="0.25">
      <c r="A705" s="91" t="s">
        <v>2607</v>
      </c>
      <c r="B705" t="s">
        <v>2608</v>
      </c>
      <c r="C705" s="93" t="s">
        <v>2612</v>
      </c>
      <c r="D705" s="93"/>
      <c r="E705" s="94" t="s">
        <v>2613</v>
      </c>
      <c r="F705" s="94" t="s">
        <v>76</v>
      </c>
      <c r="G705" s="94" t="s">
        <v>69</v>
      </c>
      <c r="H705" s="94" t="s">
        <v>70</v>
      </c>
      <c r="I705" s="94" t="s">
        <v>2614</v>
      </c>
      <c r="J705" s="94" t="s">
        <v>2615</v>
      </c>
      <c r="K705" s="94" t="s">
        <v>2616</v>
      </c>
      <c r="L705" s="52" t="str">
        <f>HYPERLINK("https://zibs.nl/wiki/VrijheidsbeperkendeMaatregelen-v3.1(2017NL)#JuridischeStatusCodelijst","JuridischeStatusCodelijst")</f>
        <v>JuridischeStatusCodelijst</v>
      </c>
      <c r="M705" s="94"/>
      <c r="N705" s="53"/>
      <c r="O705" s="54"/>
    </row>
    <row r="706" spans="1:15" ht="25.5" x14ac:dyDescent="0.25">
      <c r="A706" s="91" t="s">
        <v>2607</v>
      </c>
      <c r="B706" t="s">
        <v>2608</v>
      </c>
      <c r="C706" s="93" t="s">
        <v>2617</v>
      </c>
      <c r="D706" s="93"/>
      <c r="E706" s="94" t="s">
        <v>2618</v>
      </c>
      <c r="F706" s="94" t="s">
        <v>197</v>
      </c>
      <c r="G706" s="94" t="s">
        <v>77</v>
      </c>
      <c r="H706" s="94" t="s">
        <v>70</v>
      </c>
      <c r="I706" s="94" t="s">
        <v>2619</v>
      </c>
      <c r="J706" s="94" t="s">
        <v>2620</v>
      </c>
      <c r="K706" s="94"/>
      <c r="L706" s="52" t="str">
        <f>HYPERLINK("https://zibs.nl/wiki/VrijheidsbeperkendeMaatregelen-v3.1(2017NL)#","")</f>
        <v/>
      </c>
      <c r="M706" s="94"/>
      <c r="N706" s="53"/>
      <c r="O706" s="54"/>
    </row>
    <row r="707" spans="1:15" ht="102" x14ac:dyDescent="0.25">
      <c r="A707" s="91" t="s">
        <v>2607</v>
      </c>
      <c r="B707" t="s">
        <v>2608</v>
      </c>
      <c r="C707" s="93" t="s">
        <v>2621</v>
      </c>
      <c r="D707" s="93"/>
      <c r="E707" s="94" t="s">
        <v>2622</v>
      </c>
      <c r="F707" s="94" t="s">
        <v>68</v>
      </c>
      <c r="G707" s="94" t="s">
        <v>69</v>
      </c>
      <c r="H707" s="94" t="s">
        <v>70</v>
      </c>
      <c r="I707" s="94" t="s">
        <v>2623</v>
      </c>
      <c r="J707" s="94" t="s">
        <v>278</v>
      </c>
      <c r="K707" s="94" t="s">
        <v>73</v>
      </c>
      <c r="L707" s="52" t="str">
        <f>HYPERLINK("https://zibs.nl/wiki/VrijheidsbeperkendeMaatregelen-v3.1(2017NL)#","")</f>
        <v/>
      </c>
      <c r="M707" s="94" t="s">
        <v>2624</v>
      </c>
      <c r="N707" s="53"/>
      <c r="O707" s="54"/>
    </row>
    <row r="708" spans="1:15" ht="15" x14ac:dyDescent="0.25">
      <c r="A708" s="91" t="s">
        <v>2607</v>
      </c>
      <c r="B708" t="s">
        <v>2608</v>
      </c>
      <c r="C708" s="96" t="s">
        <v>2625</v>
      </c>
      <c r="D708" s="96"/>
      <c r="E708" s="97" t="s">
        <v>2626</v>
      </c>
      <c r="F708" s="97"/>
      <c r="G708" s="97" t="s">
        <v>158</v>
      </c>
      <c r="H708" s="97" t="s">
        <v>83</v>
      </c>
      <c r="I708" s="97" t="s">
        <v>2627</v>
      </c>
      <c r="J708" s="97" t="s">
        <v>2628</v>
      </c>
      <c r="K708" s="97"/>
      <c r="L708" s="52" t="str">
        <f>HYPERLINK("https://zibs.nl/wiki/VrijheidsbeperkendeMaatregelen-v3.1(2017NL)#","")</f>
        <v/>
      </c>
      <c r="M708" s="97"/>
      <c r="N708" s="53"/>
      <c r="O708" s="54"/>
    </row>
    <row r="709" spans="1:15" ht="25.5" x14ac:dyDescent="0.25">
      <c r="A709" s="91" t="s">
        <v>2607</v>
      </c>
      <c r="B709" t="s">
        <v>2608</v>
      </c>
      <c r="C709" s="93" t="s">
        <v>2629</v>
      </c>
      <c r="D709" s="93"/>
      <c r="E709" s="94" t="s">
        <v>2630</v>
      </c>
      <c r="F709" s="94" t="s">
        <v>76</v>
      </c>
      <c r="G709" s="94" t="s">
        <v>77</v>
      </c>
      <c r="H709" s="94" t="s">
        <v>70</v>
      </c>
      <c r="I709" s="94" t="s">
        <v>2631</v>
      </c>
      <c r="J709" s="94" t="s">
        <v>2632</v>
      </c>
      <c r="K709" s="94" t="s">
        <v>2633</v>
      </c>
      <c r="L709" s="52" t="str">
        <f>HYPERLINK("https://zibs.nl/wiki/VrijheidsbeperkendeMaatregelen-v3.1(2017NL)#ArgusInterventieCodelijst","ArgusInterventieCodelijst")</f>
        <v>ArgusInterventieCodelijst</v>
      </c>
      <c r="M709" s="94"/>
      <c r="N709" s="53"/>
      <c r="O709" s="54"/>
    </row>
    <row r="710" spans="1:15" ht="15" x14ac:dyDescent="0.25">
      <c r="A710" s="91" t="s">
        <v>2607</v>
      </c>
      <c r="B710" t="s">
        <v>2608</v>
      </c>
      <c r="C710" s="93"/>
      <c r="D710" s="93"/>
      <c r="E710" s="94"/>
      <c r="F710" s="94"/>
      <c r="G710" s="94"/>
      <c r="H710" s="94"/>
      <c r="I710" s="94"/>
      <c r="J710" s="94"/>
      <c r="K710" s="94"/>
      <c r="L710" s="52" t="str">
        <f>HYPERLINK("https://zibs.nl/wiki/VrijheidsbeperkendeMaatregelen-v3.1(2017NL)#SoortInterventieCodelijst","SoortInterventieCodelijst")</f>
        <v>SoortInterventieCodelijst</v>
      </c>
      <c r="M710" s="94"/>
      <c r="N710" s="53"/>
      <c r="O710" s="54"/>
    </row>
    <row r="711" spans="1:15" ht="25.5" x14ac:dyDescent="0.25">
      <c r="A711" s="91" t="s">
        <v>2607</v>
      </c>
      <c r="B711" t="s">
        <v>2608</v>
      </c>
      <c r="C711" s="93" t="s">
        <v>2634</v>
      </c>
      <c r="D711" s="93"/>
      <c r="E711" s="94" t="s">
        <v>2635</v>
      </c>
      <c r="F711" s="94" t="s">
        <v>76</v>
      </c>
      <c r="G711" s="94" t="s">
        <v>77</v>
      </c>
      <c r="H711" s="94" t="s">
        <v>70</v>
      </c>
      <c r="I711" s="94" t="s">
        <v>2636</v>
      </c>
      <c r="J711" s="94" t="s">
        <v>2637</v>
      </c>
      <c r="K711" s="94" t="s">
        <v>2638</v>
      </c>
      <c r="L711" s="52" t="str">
        <f>HYPERLINK("https://zibs.nl/wiki/VrijheidsbeperkendeMaatregelen-v3.1(2017NL)#ArgusInstemmingCodelijst","ArgusInstemmingCodelijst")</f>
        <v>ArgusInstemmingCodelijst</v>
      </c>
      <c r="M711" s="94"/>
      <c r="N711" s="53"/>
      <c r="O711" s="54"/>
    </row>
    <row r="712" spans="1:15" ht="15" x14ac:dyDescent="0.25">
      <c r="A712" s="91" t="s">
        <v>2607</v>
      </c>
      <c r="B712" t="s">
        <v>2608</v>
      </c>
      <c r="C712" s="93"/>
      <c r="D712" s="93"/>
      <c r="E712" s="94"/>
      <c r="F712" s="94"/>
      <c r="G712" s="94"/>
      <c r="H712" s="94"/>
      <c r="I712" s="94"/>
      <c r="J712" s="94"/>
      <c r="K712" s="94"/>
      <c r="L712" s="52" t="str">
        <f>HYPERLINK("https://zibs.nl/wiki/VrijheidsbeperkendeMaatregelen-v3.1(2017NL)#ToestemmingCodelijst","ToestemmingCodelijst")</f>
        <v>ToestemmingCodelijst</v>
      </c>
      <c r="M712" s="94"/>
      <c r="N712" s="53"/>
      <c r="O712" s="54"/>
    </row>
    <row r="713" spans="1:15" ht="15" x14ac:dyDescent="0.25">
      <c r="A713" s="91" t="s">
        <v>2607</v>
      </c>
      <c r="B713" t="s">
        <v>2608</v>
      </c>
      <c r="C713" s="93" t="s">
        <v>2639</v>
      </c>
      <c r="D713" s="93"/>
      <c r="E713" s="94" t="s">
        <v>2640</v>
      </c>
      <c r="F713" s="94" t="s">
        <v>88</v>
      </c>
      <c r="G713" s="94" t="s">
        <v>69</v>
      </c>
      <c r="H713" s="94" t="s">
        <v>70</v>
      </c>
      <c r="I713" s="94" t="s">
        <v>2641</v>
      </c>
      <c r="J713" s="94" t="s">
        <v>2642</v>
      </c>
      <c r="K713" s="94"/>
      <c r="L713" s="52" t="str">
        <f>HYPERLINK("https://zibs.nl/wiki/VrijheidsbeperkendeMaatregelen-v3.1(2017NL)#","")</f>
        <v/>
      </c>
      <c r="M713" s="94"/>
      <c r="N713" s="53"/>
      <c r="O713" s="54"/>
    </row>
    <row r="714" spans="1:15" ht="15" x14ac:dyDescent="0.25">
      <c r="A714" s="91" t="s">
        <v>2607</v>
      </c>
      <c r="B714" t="s">
        <v>2608</v>
      </c>
      <c r="C714" s="93" t="s">
        <v>2643</v>
      </c>
      <c r="D714" s="93"/>
      <c r="E714" s="94" t="s">
        <v>2644</v>
      </c>
      <c r="F714" s="94" t="s">
        <v>88</v>
      </c>
      <c r="G714" s="94" t="s">
        <v>69</v>
      </c>
      <c r="H714" s="94" t="s">
        <v>70</v>
      </c>
      <c r="I714" s="94" t="s">
        <v>2645</v>
      </c>
      <c r="J714" s="94" t="s">
        <v>2646</v>
      </c>
      <c r="K714" s="94"/>
      <c r="L714" s="52" t="str">
        <f>HYPERLINK("https://zibs.nl/wiki/VrijheidsbeperkendeMaatregelen-v3.1(2017NL)#","")</f>
        <v/>
      </c>
      <c r="M714" s="94"/>
      <c r="N714" s="53"/>
      <c r="O714" s="54"/>
    </row>
    <row r="715" spans="1:15" ht="38.25" x14ac:dyDescent="0.25">
      <c r="A715" s="91" t="s">
        <v>2647</v>
      </c>
      <c r="B715" t="s">
        <v>2648</v>
      </c>
      <c r="C715" s="91" t="s">
        <v>2647</v>
      </c>
      <c r="D715" s="91"/>
      <c r="E715" s="92" t="s">
        <v>2649</v>
      </c>
      <c r="F715" s="92"/>
      <c r="G715" s="92"/>
      <c r="H715" s="92" t="s">
        <v>62</v>
      </c>
      <c r="I715" s="92" t="s">
        <v>2650</v>
      </c>
      <c r="J715" s="92" t="s">
        <v>2651</v>
      </c>
      <c r="K715" s="92"/>
      <c r="L715" s="52" t="str">
        <f>HYPERLINK("https://zibs.nl/wiki/VermogenTotZelfstandigMedicatiegebruik-v1.0(2017NL)#","")</f>
        <v/>
      </c>
      <c r="M715" s="92"/>
      <c r="N715" s="53"/>
      <c r="O715" s="54"/>
    </row>
    <row r="716" spans="1:15" ht="38.25" x14ac:dyDescent="0.25">
      <c r="A716" s="91" t="s">
        <v>2647</v>
      </c>
      <c r="B716" t="s">
        <v>2648</v>
      </c>
      <c r="C716" s="93" t="s">
        <v>2652</v>
      </c>
      <c r="D716" s="93"/>
      <c r="E716" s="94" t="s">
        <v>2653</v>
      </c>
      <c r="F716" s="94" t="s">
        <v>76</v>
      </c>
      <c r="G716" s="94" t="s">
        <v>77</v>
      </c>
      <c r="H716" s="94" t="s">
        <v>70</v>
      </c>
      <c r="I716" s="94" t="s">
        <v>2654</v>
      </c>
      <c r="J716" s="94" t="s">
        <v>2655</v>
      </c>
      <c r="K716" s="94" t="s">
        <v>2656</v>
      </c>
      <c r="L716" s="52" t="str">
        <f>HYPERLINK("https://zibs.nl/wiki/VermogenTotZelfstandigMedicatiegebruik-v1.0(2017NL)#ZelfstandigMedicatiegebruikCodelijst","ZelfstandigMedicatiegebruikCodelijst")</f>
        <v>ZelfstandigMedicatiegebruikCodelijst</v>
      </c>
      <c r="M716" s="94"/>
      <c r="N716" s="53"/>
      <c r="O716" s="54"/>
    </row>
    <row r="717" spans="1:15" ht="38.25" x14ac:dyDescent="0.25">
      <c r="A717" s="91" t="s">
        <v>2647</v>
      </c>
      <c r="B717" t="s">
        <v>2648</v>
      </c>
      <c r="C717" s="93" t="s">
        <v>2657</v>
      </c>
      <c r="D717" s="93"/>
      <c r="E717" s="94" t="s">
        <v>2658</v>
      </c>
      <c r="F717" s="94"/>
      <c r="G717" s="94" t="s">
        <v>69</v>
      </c>
      <c r="H717" s="94" t="s">
        <v>110</v>
      </c>
      <c r="I717" s="94" t="s">
        <v>2659</v>
      </c>
      <c r="J717" s="94" t="s">
        <v>2660</v>
      </c>
      <c r="K717" s="94"/>
      <c r="L717" s="98" t="s">
        <v>2661</v>
      </c>
      <c r="M717" s="94"/>
      <c r="N717" s="53"/>
      <c r="O717" s="54"/>
    </row>
    <row r="718" spans="1:15" ht="15" x14ac:dyDescent="0.25">
      <c r="A718" s="91" t="s">
        <v>2662</v>
      </c>
      <c r="B718" t="s">
        <v>2663</v>
      </c>
      <c r="C718" s="91" t="s">
        <v>2662</v>
      </c>
      <c r="D718" s="91"/>
      <c r="E718" s="92" t="s">
        <v>2664</v>
      </c>
      <c r="F718" s="92"/>
      <c r="G718" s="92"/>
      <c r="H718" s="92" t="s">
        <v>62</v>
      </c>
      <c r="I718" s="92" t="s">
        <v>2665</v>
      </c>
      <c r="J718" s="92" t="s">
        <v>2666</v>
      </c>
      <c r="K718" s="92"/>
      <c r="L718" s="52" t="str">
        <f>HYPERLINK("https://zibs.nl/wiki/Wond-v3.1(2017NL)#","")</f>
        <v/>
      </c>
      <c r="M718" s="92"/>
      <c r="N718" s="53"/>
      <c r="O718" s="54"/>
    </row>
    <row r="719" spans="1:15" ht="15" x14ac:dyDescent="0.25">
      <c r="A719" s="91" t="s">
        <v>2662</v>
      </c>
      <c r="B719" t="s">
        <v>2663</v>
      </c>
      <c r="C719" s="93" t="s">
        <v>2667</v>
      </c>
      <c r="D719" s="93"/>
      <c r="E719" s="94" t="s">
        <v>2668</v>
      </c>
      <c r="F719" s="94" t="s">
        <v>76</v>
      </c>
      <c r="G719" s="94" t="s">
        <v>77</v>
      </c>
      <c r="H719" s="94" t="s">
        <v>70</v>
      </c>
      <c r="I719" s="94" t="s">
        <v>2669</v>
      </c>
      <c r="J719" s="94" t="s">
        <v>2670</v>
      </c>
      <c r="K719" s="94"/>
      <c r="L719" s="52" t="str">
        <f>HYPERLINK("https://zibs.nl/wiki/Wond-v3.1(2017NL)#WondSoortCodelijst","WondSoortCodelijst")</f>
        <v>WondSoortCodelijst</v>
      </c>
      <c r="M719" s="94"/>
      <c r="N719" s="53"/>
      <c r="O719" s="54"/>
    </row>
    <row r="720" spans="1:15" ht="25.5" x14ac:dyDescent="0.25">
      <c r="A720" s="91" t="s">
        <v>2662</v>
      </c>
      <c r="B720" t="s">
        <v>2663</v>
      </c>
      <c r="C720" s="93" t="s">
        <v>2671</v>
      </c>
      <c r="D720" s="93"/>
      <c r="E720" s="94" t="s">
        <v>2672</v>
      </c>
      <c r="F720" s="94" t="s">
        <v>76</v>
      </c>
      <c r="G720" s="94" t="s">
        <v>69</v>
      </c>
      <c r="H720" s="94" t="s">
        <v>70</v>
      </c>
      <c r="I720" s="94" t="s">
        <v>2673</v>
      </c>
      <c r="J720" s="94" t="s">
        <v>2674</v>
      </c>
      <c r="K720" s="94"/>
      <c r="L720" s="52" t="str">
        <f>HYPERLINK("https://zibs.nl/wiki/Wond-v3.1(2017NL)#WondWeefselOncoUlcerCodelijst","WondWeefselOncoUlcerCodelijst")</f>
        <v>WondWeefselOncoUlcerCodelijst</v>
      </c>
      <c r="M720" s="94"/>
      <c r="N720" s="53"/>
      <c r="O720" s="54"/>
    </row>
    <row r="721" spans="1:15" ht="15" x14ac:dyDescent="0.25">
      <c r="A721" s="91" t="s">
        <v>2662</v>
      </c>
      <c r="B721" t="s">
        <v>2663</v>
      </c>
      <c r="C721" s="93"/>
      <c r="D721" s="93"/>
      <c r="E721" s="94"/>
      <c r="F721" s="94"/>
      <c r="G721" s="94"/>
      <c r="H721" s="94"/>
      <c r="I721" s="94"/>
      <c r="J721" s="94"/>
      <c r="K721" s="94"/>
      <c r="L721" s="52" t="str">
        <f>HYPERLINK("https://zibs.nl/wiki/Wond-v3.1(2017NL)#WondWeefselWCSCodelijst","WondWeefselWCSCodelijst")</f>
        <v>WondWeefselWCSCodelijst</v>
      </c>
      <c r="M721" s="94"/>
      <c r="N721" s="53"/>
      <c r="O721" s="54"/>
    </row>
    <row r="722" spans="1:15" ht="25.5" x14ac:dyDescent="0.25">
      <c r="A722" s="91" t="s">
        <v>2662</v>
      </c>
      <c r="B722" t="s">
        <v>2663</v>
      </c>
      <c r="C722" s="93" t="s">
        <v>2675</v>
      </c>
      <c r="D722" s="93"/>
      <c r="E722" s="94" t="s">
        <v>2676</v>
      </c>
      <c r="F722" s="94" t="s">
        <v>197</v>
      </c>
      <c r="G722" s="94" t="s">
        <v>69</v>
      </c>
      <c r="H722" s="94" t="s">
        <v>70</v>
      </c>
      <c r="I722" s="94" t="s">
        <v>2677</v>
      </c>
      <c r="J722" s="94" t="s">
        <v>2678</v>
      </c>
      <c r="K722" s="94" t="s">
        <v>2679</v>
      </c>
      <c r="L722" s="52" t="str">
        <f>HYPERLINK("https://zibs.nl/wiki/Wond-v3.1(2017NL)#","")</f>
        <v/>
      </c>
      <c r="M722" s="94"/>
      <c r="N722" s="53"/>
      <c r="O722" s="54"/>
    </row>
    <row r="723" spans="1:15" ht="25.5" x14ac:dyDescent="0.25">
      <c r="A723" s="91" t="s">
        <v>2662</v>
      </c>
      <c r="B723" t="s">
        <v>2663</v>
      </c>
      <c r="C723" s="93" t="s">
        <v>2680</v>
      </c>
      <c r="D723" s="93"/>
      <c r="E723" s="94" t="s">
        <v>2681</v>
      </c>
      <c r="F723" s="94" t="s">
        <v>76</v>
      </c>
      <c r="G723" s="94" t="s">
        <v>69</v>
      </c>
      <c r="H723" s="94" t="s">
        <v>70</v>
      </c>
      <c r="I723" s="94" t="s">
        <v>2682</v>
      </c>
      <c r="J723" s="94" t="s">
        <v>2683</v>
      </c>
      <c r="K723" s="94" t="s">
        <v>2684</v>
      </c>
      <c r="L723" s="52" t="str">
        <f>HYPERLINK("https://zibs.nl/wiki/Wond-v3.1(2017NL)#WondVochtigheidCodelijst","WondVochtigheidCodelijst")</f>
        <v>WondVochtigheidCodelijst</v>
      </c>
      <c r="M723" s="94"/>
      <c r="N723" s="53"/>
      <c r="O723" s="54"/>
    </row>
    <row r="724" spans="1:15" ht="25.5" x14ac:dyDescent="0.25">
      <c r="A724" s="91" t="s">
        <v>2662</v>
      </c>
      <c r="B724" t="s">
        <v>2663</v>
      </c>
      <c r="C724" s="93" t="s">
        <v>2685</v>
      </c>
      <c r="D724" s="93"/>
      <c r="E724" s="94" t="s">
        <v>2686</v>
      </c>
      <c r="F724" s="94" t="s">
        <v>76</v>
      </c>
      <c r="G724" s="94" t="s">
        <v>69</v>
      </c>
      <c r="H724" s="94" t="s">
        <v>70</v>
      </c>
      <c r="I724" s="94" t="s">
        <v>2687</v>
      </c>
      <c r="J724" s="94" t="s">
        <v>2688</v>
      </c>
      <c r="K724" s="94" t="s">
        <v>2689</v>
      </c>
      <c r="L724" s="52" t="str">
        <f>HYPERLINK("https://zibs.nl/wiki/Wond-v3.1(2017NL)#WondRandCodelijst","WondRandCodelijst")</f>
        <v>WondRandCodelijst</v>
      </c>
      <c r="M724" s="94"/>
      <c r="N724" s="53"/>
      <c r="O724" s="54"/>
    </row>
    <row r="725" spans="1:15" ht="25.5" x14ac:dyDescent="0.25">
      <c r="A725" s="91" t="s">
        <v>2662</v>
      </c>
      <c r="B725" t="s">
        <v>2663</v>
      </c>
      <c r="C725" s="93" t="s">
        <v>1503</v>
      </c>
      <c r="D725" s="93"/>
      <c r="E725" s="94" t="s">
        <v>1504</v>
      </c>
      <c r="F725" s="94" t="s">
        <v>97</v>
      </c>
      <c r="G725" s="94" t="s">
        <v>69</v>
      </c>
      <c r="H725" s="94" t="s">
        <v>70</v>
      </c>
      <c r="I725" s="94" t="s">
        <v>2690</v>
      </c>
      <c r="J725" s="94" t="s">
        <v>2691</v>
      </c>
      <c r="K725" s="94" t="s">
        <v>2692</v>
      </c>
      <c r="L725" s="52" t="str">
        <f>HYPERLINK("https://zibs.nl/wiki/Wond-v3.1(2017NL)#","")</f>
        <v/>
      </c>
      <c r="M725" s="94"/>
      <c r="N725" s="53"/>
      <c r="O725" s="54"/>
    </row>
    <row r="726" spans="1:15" ht="25.5" x14ac:dyDescent="0.25">
      <c r="A726" s="91" t="s">
        <v>2662</v>
      </c>
      <c r="B726" t="s">
        <v>2663</v>
      </c>
      <c r="C726" s="93" t="s">
        <v>1508</v>
      </c>
      <c r="D726" s="93"/>
      <c r="E726" s="94" t="s">
        <v>1509</v>
      </c>
      <c r="F726" s="94" t="s">
        <v>97</v>
      </c>
      <c r="G726" s="94" t="s">
        <v>69</v>
      </c>
      <c r="H726" s="94" t="s">
        <v>70</v>
      </c>
      <c r="I726" s="94" t="s">
        <v>2693</v>
      </c>
      <c r="J726" s="94" t="s">
        <v>2694</v>
      </c>
      <c r="K726" s="94" t="s">
        <v>2695</v>
      </c>
      <c r="L726" s="52" t="str">
        <f>HYPERLINK("https://zibs.nl/wiki/Wond-v3.1(2017NL)#","")</f>
        <v/>
      </c>
      <c r="M726" s="94"/>
      <c r="N726" s="53"/>
      <c r="O726" s="54"/>
    </row>
    <row r="727" spans="1:15" ht="25.5" x14ac:dyDescent="0.25">
      <c r="A727" s="91" t="s">
        <v>2662</v>
      </c>
      <c r="B727" t="s">
        <v>2663</v>
      </c>
      <c r="C727" s="93" t="s">
        <v>1513</v>
      </c>
      <c r="D727" s="93"/>
      <c r="E727" s="94" t="s">
        <v>1514</v>
      </c>
      <c r="F727" s="94" t="s">
        <v>97</v>
      </c>
      <c r="G727" s="94" t="s">
        <v>69</v>
      </c>
      <c r="H727" s="94" t="s">
        <v>70</v>
      </c>
      <c r="I727" s="94" t="s">
        <v>2696</v>
      </c>
      <c r="J727" s="94" t="s">
        <v>2697</v>
      </c>
      <c r="K727" s="94" t="s">
        <v>2698</v>
      </c>
      <c r="L727" s="52" t="str">
        <f>HYPERLINK("https://zibs.nl/wiki/Wond-v3.1(2017NL)#","")</f>
        <v/>
      </c>
      <c r="M727" s="94"/>
      <c r="N727" s="53"/>
      <c r="O727" s="54"/>
    </row>
    <row r="728" spans="1:15" ht="25.5" x14ac:dyDescent="0.25">
      <c r="A728" s="91" t="s">
        <v>2662</v>
      </c>
      <c r="B728" t="s">
        <v>2663</v>
      </c>
      <c r="C728" s="93" t="s">
        <v>543</v>
      </c>
      <c r="D728" s="93"/>
      <c r="E728" s="94" t="s">
        <v>544</v>
      </c>
      <c r="F728" s="94" t="s">
        <v>76</v>
      </c>
      <c r="G728" s="94" t="s">
        <v>69</v>
      </c>
      <c r="H728" s="94" t="s">
        <v>70</v>
      </c>
      <c r="I728" s="94" t="s">
        <v>2699</v>
      </c>
      <c r="J728" s="94" t="s">
        <v>2700</v>
      </c>
      <c r="K728" s="94" t="s">
        <v>1382</v>
      </c>
      <c r="L728" s="52" t="str">
        <f>HYPERLINK("https://zibs.nl/wiki/Wond-v3.1(2017NL)#WondAnatomischeLocatieCodelijst","WondAnatomischeLocatieCodelijst")</f>
        <v>WondAnatomischeLocatieCodelijst</v>
      </c>
      <c r="M728" s="94"/>
      <c r="N728" s="53"/>
      <c r="O728" s="54"/>
    </row>
    <row r="729" spans="1:15" ht="25.5" x14ac:dyDescent="0.25">
      <c r="A729" s="91" t="s">
        <v>2662</v>
      </c>
      <c r="B729" t="s">
        <v>2663</v>
      </c>
      <c r="C729" s="95" t="s">
        <v>548</v>
      </c>
      <c r="D729" s="95"/>
      <c r="E729" s="94" t="s">
        <v>549</v>
      </c>
      <c r="F729" s="94" t="s">
        <v>76</v>
      </c>
      <c r="G729" s="94" t="s">
        <v>69</v>
      </c>
      <c r="H729" s="94" t="s">
        <v>70</v>
      </c>
      <c r="I729" s="94" t="s">
        <v>2701</v>
      </c>
      <c r="J729" s="94" t="s">
        <v>551</v>
      </c>
      <c r="K729" s="94" t="s">
        <v>552</v>
      </c>
      <c r="L729" s="52" t="str">
        <f>HYPERLINK("https://zibs.nl/wiki/Wond-v3.1(2017NL)#WondLateraliteitCodelijst","WondLateraliteitCodelijst")</f>
        <v>WondLateraliteitCodelijst</v>
      </c>
      <c r="M729" s="94"/>
      <c r="N729" s="53"/>
      <c r="O729" s="54"/>
    </row>
    <row r="730" spans="1:15" ht="15" x14ac:dyDescent="0.25">
      <c r="A730" s="91" t="s">
        <v>2662</v>
      </c>
      <c r="B730" t="s">
        <v>2663</v>
      </c>
      <c r="C730" s="95" t="s">
        <v>2702</v>
      </c>
      <c r="D730" s="95"/>
      <c r="E730" s="94" t="s">
        <v>2703</v>
      </c>
      <c r="F730" s="94" t="s">
        <v>88</v>
      </c>
      <c r="G730" s="94" t="s">
        <v>69</v>
      </c>
      <c r="H730" s="94" t="s">
        <v>70</v>
      </c>
      <c r="I730" s="94" t="s">
        <v>2704</v>
      </c>
      <c r="J730" s="94" t="s">
        <v>2705</v>
      </c>
      <c r="K730" s="94"/>
      <c r="L730" s="52" t="str">
        <f>HYPERLINK("https://zibs.nl/wiki/Wond-v3.1(2017NL)#","")</f>
        <v/>
      </c>
      <c r="M730" s="94"/>
      <c r="N730" s="53"/>
      <c r="O730" s="54"/>
    </row>
    <row r="731" spans="1:15" ht="38.25" x14ac:dyDescent="0.25">
      <c r="A731" s="91" t="s">
        <v>2662</v>
      </c>
      <c r="B731" t="s">
        <v>2663</v>
      </c>
      <c r="C731" s="95" t="s">
        <v>1390</v>
      </c>
      <c r="D731" s="95"/>
      <c r="E731" s="94" t="s">
        <v>1391</v>
      </c>
      <c r="F731" s="94" t="s">
        <v>88</v>
      </c>
      <c r="G731" s="94" t="s">
        <v>69</v>
      </c>
      <c r="H731" s="94" t="s">
        <v>70</v>
      </c>
      <c r="I731" s="94" t="s">
        <v>2706</v>
      </c>
      <c r="J731" s="94" t="s">
        <v>2707</v>
      </c>
      <c r="K731" s="94"/>
      <c r="L731" s="52" t="str">
        <f>HYPERLINK("https://zibs.nl/wiki/Wond-v3.1(2017NL)#","")</f>
        <v/>
      </c>
      <c r="M731" s="94"/>
      <c r="N731" s="53"/>
      <c r="O731" s="54"/>
    </row>
    <row r="732" spans="1:15" ht="25.5" x14ac:dyDescent="0.25">
      <c r="A732" s="91" t="s">
        <v>2662</v>
      </c>
      <c r="B732" t="s">
        <v>2663</v>
      </c>
      <c r="C732" s="95" t="s">
        <v>2708</v>
      </c>
      <c r="D732" s="95"/>
      <c r="E732" s="94" t="s">
        <v>2709</v>
      </c>
      <c r="F732" s="94"/>
      <c r="G732" s="94" t="s">
        <v>69</v>
      </c>
      <c r="H732" s="94" t="s">
        <v>110</v>
      </c>
      <c r="I732" s="94" t="s">
        <v>2710</v>
      </c>
      <c r="J732" s="94" t="s">
        <v>2711</v>
      </c>
      <c r="K732" s="94" t="s">
        <v>2712</v>
      </c>
      <c r="L732" s="98" t="s">
        <v>488</v>
      </c>
      <c r="M732" s="94"/>
      <c r="N732" s="53"/>
      <c r="O732" s="54"/>
    </row>
    <row r="733" spans="1:15" ht="15" x14ac:dyDescent="0.25">
      <c r="A733" s="91" t="s">
        <v>2662</v>
      </c>
      <c r="B733" t="s">
        <v>2663</v>
      </c>
      <c r="C733" s="95" t="s">
        <v>789</v>
      </c>
      <c r="D733" s="95"/>
      <c r="E733" s="94" t="s">
        <v>790</v>
      </c>
      <c r="F733" s="94" t="s">
        <v>76</v>
      </c>
      <c r="G733" s="94"/>
      <c r="H733" s="94" t="s">
        <v>70</v>
      </c>
      <c r="I733" s="94" t="s">
        <v>791</v>
      </c>
      <c r="J733" s="94" t="s">
        <v>2713</v>
      </c>
      <c r="K733" s="94"/>
      <c r="L733" s="52" t="str">
        <f>HYPERLINK("https://zibs.nl/wiki/Wond-v3.1(2017NL)#WondDrainTypeCodelijst","WondDrainTypeCodelijst")</f>
        <v>WondDrainTypeCodelijst</v>
      </c>
      <c r="M733" s="94"/>
      <c r="N733" s="53"/>
      <c r="O733" s="54"/>
    </row>
    <row r="734" spans="1:15" ht="25.5" x14ac:dyDescent="0.25">
      <c r="A734" s="91" t="s">
        <v>2662</v>
      </c>
      <c r="B734" t="s">
        <v>2663</v>
      </c>
      <c r="C734" s="95" t="s">
        <v>1518</v>
      </c>
      <c r="D734" s="95"/>
      <c r="E734" s="94" t="s">
        <v>1519</v>
      </c>
      <c r="F734" s="94" t="s">
        <v>1112</v>
      </c>
      <c r="G734" s="94" t="s">
        <v>158</v>
      </c>
      <c r="H734" s="94" t="s">
        <v>70</v>
      </c>
      <c r="I734" s="94" t="s">
        <v>2714</v>
      </c>
      <c r="J734" s="94" t="s">
        <v>2715</v>
      </c>
      <c r="K734" s="94"/>
      <c r="L734" s="52" t="str">
        <f>HYPERLINK("https://zibs.nl/wiki/Wond-v3.1(2017NL)#","")</f>
        <v/>
      </c>
      <c r="M734" s="94"/>
      <c r="N734" s="53"/>
      <c r="O734" s="54"/>
    </row>
    <row r="735" spans="1:15" ht="25.5" x14ac:dyDescent="0.25">
      <c r="A735" s="91" t="s">
        <v>2662</v>
      </c>
      <c r="B735" t="s">
        <v>2663</v>
      </c>
      <c r="C735" s="95" t="s">
        <v>66</v>
      </c>
      <c r="D735" s="95"/>
      <c r="E735" s="94" t="s">
        <v>67</v>
      </c>
      <c r="F735" s="94" t="s">
        <v>68</v>
      </c>
      <c r="G735" s="94" t="s">
        <v>69</v>
      </c>
      <c r="H735" s="94" t="s">
        <v>70</v>
      </c>
      <c r="I735" s="94" t="s">
        <v>2716</v>
      </c>
      <c r="J735" s="94" t="s">
        <v>2717</v>
      </c>
      <c r="K735" s="94" t="s">
        <v>73</v>
      </c>
      <c r="L735" s="52" t="str">
        <f>HYPERLINK("https://zibs.nl/wiki/Wond-v3.1(2017NL)#","")</f>
        <v/>
      </c>
      <c r="M735" s="94"/>
      <c r="N735" s="53"/>
      <c r="O735" s="54"/>
    </row>
    <row r="736" spans="1:15" ht="38.25" x14ac:dyDescent="0.25">
      <c r="A736" s="91" t="s">
        <v>2718</v>
      </c>
      <c r="B736" t="s">
        <v>2719</v>
      </c>
      <c r="C736" s="91" t="s">
        <v>2718</v>
      </c>
      <c r="D736" s="91"/>
      <c r="E736" s="92" t="s">
        <v>2720</v>
      </c>
      <c r="F736" s="92"/>
      <c r="G736" s="92"/>
      <c r="H736" s="92" t="s">
        <v>62</v>
      </c>
      <c r="I736" s="92" t="s">
        <v>2721</v>
      </c>
      <c r="J736" s="92" t="s">
        <v>2722</v>
      </c>
      <c r="K736" s="92"/>
      <c r="L736" s="52" t="str">
        <f>HYPERLINK("https://zibs.nl/wiki/VermogenTotVerpleegtechnischeHandelingen-v1.0(2017NL)#","")</f>
        <v/>
      </c>
      <c r="M736" s="92"/>
      <c r="N736" s="53"/>
      <c r="O736" s="54"/>
    </row>
    <row r="737" spans="1:15" ht="25.5" x14ac:dyDescent="0.25">
      <c r="A737" s="91" t="s">
        <v>2718</v>
      </c>
      <c r="B737" t="s">
        <v>2719</v>
      </c>
      <c r="C737" s="93" t="s">
        <v>845</v>
      </c>
      <c r="D737" s="93"/>
      <c r="E737" s="94" t="s">
        <v>2723</v>
      </c>
      <c r="F737" s="94"/>
      <c r="G737" s="94" t="s">
        <v>77</v>
      </c>
      <c r="H737" s="94" t="s">
        <v>110</v>
      </c>
      <c r="I737" s="94" t="s">
        <v>2724</v>
      </c>
      <c r="J737" s="94" t="s">
        <v>2725</v>
      </c>
      <c r="K737" s="94"/>
      <c r="L737" s="98" t="s">
        <v>849</v>
      </c>
      <c r="M737" s="94"/>
      <c r="N737" s="53"/>
      <c r="O737" s="54"/>
    </row>
    <row r="738" spans="1:15" ht="38.25" x14ac:dyDescent="0.25">
      <c r="A738" s="91" t="s">
        <v>2718</v>
      </c>
      <c r="B738" t="s">
        <v>2719</v>
      </c>
      <c r="C738" s="93" t="s">
        <v>2726</v>
      </c>
      <c r="D738" s="93"/>
      <c r="E738" s="94" t="s">
        <v>2727</v>
      </c>
      <c r="F738" s="94" t="s">
        <v>474</v>
      </c>
      <c r="G738" s="94" t="s">
        <v>77</v>
      </c>
      <c r="H738" s="94" t="s">
        <v>70</v>
      </c>
      <c r="I738" s="94" t="s">
        <v>2728</v>
      </c>
      <c r="J738" s="94" t="s">
        <v>2729</v>
      </c>
      <c r="K738" s="94" t="s">
        <v>2730</v>
      </c>
      <c r="L738" s="52" t="str">
        <f>HYPERLINK("https://zibs.nl/wiki/VermogenTotVerpleegtechnischeHandelingen-v1.0(2017NL)#VerrichtenVPKHandelingCodelijst","VerrichtenVPKHandelingCodelijst")</f>
        <v>VerrichtenVPKHandelingCodelijst</v>
      </c>
      <c r="M738" s="94"/>
      <c r="N738" s="53"/>
      <c r="O738" s="54"/>
    </row>
    <row r="739" spans="1:15" ht="25.5" x14ac:dyDescent="0.25">
      <c r="A739" s="91" t="s">
        <v>2731</v>
      </c>
      <c r="B739" t="s">
        <v>2732</v>
      </c>
      <c r="C739" s="91" t="s">
        <v>2731</v>
      </c>
      <c r="D739" s="91"/>
      <c r="E739" s="92" t="s">
        <v>2733</v>
      </c>
      <c r="F739" s="92"/>
      <c r="G739" s="92"/>
      <c r="H739" s="92" t="s">
        <v>62</v>
      </c>
      <c r="I739" s="92" t="s">
        <v>2734</v>
      </c>
      <c r="J739" s="92" t="s">
        <v>2735</v>
      </c>
      <c r="K739" s="92"/>
      <c r="L739" s="52" t="str">
        <f>HYPERLINK("https://zibs.nl/wiki/VermogenTotEten-v3.1(2017NL)#","")</f>
        <v/>
      </c>
      <c r="M739" s="92"/>
      <c r="N739" s="53"/>
      <c r="O739" s="54"/>
    </row>
    <row r="740" spans="1:15" ht="25.5" x14ac:dyDescent="0.25">
      <c r="A740" s="91" t="s">
        <v>2731</v>
      </c>
      <c r="B740" t="s">
        <v>2732</v>
      </c>
      <c r="C740" s="93" t="s">
        <v>2736</v>
      </c>
      <c r="D740" s="93"/>
      <c r="E740" s="94" t="s">
        <v>2737</v>
      </c>
      <c r="F740" s="94" t="s">
        <v>474</v>
      </c>
      <c r="G740" s="94" t="s">
        <v>77</v>
      </c>
      <c r="H740" s="94" t="s">
        <v>70</v>
      </c>
      <c r="I740" s="94" t="s">
        <v>2738</v>
      </c>
      <c r="J740" s="94" t="s">
        <v>2739</v>
      </c>
      <c r="K740" s="94" t="s">
        <v>2740</v>
      </c>
      <c r="L740" s="52" t="str">
        <f>HYPERLINK("https://zibs.nl/wiki/VermogenTotEten-v3.1(2017NL)#EtenCodelijst","EtenCodelijst")</f>
        <v>EtenCodelijst</v>
      </c>
      <c r="M740" s="94"/>
      <c r="N740" s="53"/>
      <c r="O740" s="54"/>
    </row>
    <row r="741" spans="1:15" ht="25.5" x14ac:dyDescent="0.25">
      <c r="A741" s="91" t="s">
        <v>2731</v>
      </c>
      <c r="B741" t="s">
        <v>2732</v>
      </c>
      <c r="C741" s="93" t="s">
        <v>2741</v>
      </c>
      <c r="D741" s="93"/>
      <c r="E741" s="94" t="s">
        <v>2742</v>
      </c>
      <c r="F741" s="94" t="s">
        <v>76</v>
      </c>
      <c r="G741" s="94" t="s">
        <v>158</v>
      </c>
      <c r="H741" s="94" t="s">
        <v>70</v>
      </c>
      <c r="I741" s="94" t="s">
        <v>2743</v>
      </c>
      <c r="J741" s="94" t="s">
        <v>2744</v>
      </c>
      <c r="K741" s="94" t="s">
        <v>2745</v>
      </c>
      <c r="L741" s="52" t="str">
        <f>HYPERLINK("https://zibs.nl/wiki/VermogenTotEten-v3.1(2017NL)#EetBeperkingenCodelijst","EetBeperkingenCodelijst")</f>
        <v>EetBeperkingenCodelijst</v>
      </c>
      <c r="M741" s="94"/>
      <c r="N741" s="53"/>
      <c r="O741" s="54"/>
    </row>
    <row r="742" spans="1:15" ht="25.5" x14ac:dyDescent="0.25">
      <c r="A742" s="91" t="s">
        <v>845</v>
      </c>
      <c r="B742" t="s">
        <v>2746</v>
      </c>
      <c r="C742" s="91" t="s">
        <v>845</v>
      </c>
      <c r="D742" s="91"/>
      <c r="E742" s="92" t="s">
        <v>2723</v>
      </c>
      <c r="F742" s="92"/>
      <c r="G742" s="92"/>
      <c r="H742" s="92" t="s">
        <v>62</v>
      </c>
      <c r="I742" s="92" t="s">
        <v>2747</v>
      </c>
      <c r="J742" s="92" t="s">
        <v>2748</v>
      </c>
      <c r="K742" s="92"/>
      <c r="L742" s="52" t="str">
        <f>HYPERLINK("https://zibs.nl/wiki/VerpleegkundigeInterventie-v3.1(2017NL)#","")</f>
        <v/>
      </c>
      <c r="M742" s="92"/>
      <c r="N742" s="53"/>
      <c r="O742" s="54"/>
    </row>
    <row r="743" spans="1:15" ht="38.25" x14ac:dyDescent="0.25">
      <c r="A743" s="91" t="s">
        <v>845</v>
      </c>
      <c r="B743" t="s">
        <v>2746</v>
      </c>
      <c r="C743" s="93" t="s">
        <v>2625</v>
      </c>
      <c r="D743" s="93"/>
      <c r="E743" s="94" t="s">
        <v>2626</v>
      </c>
      <c r="F743" s="94" t="s">
        <v>76</v>
      </c>
      <c r="G743" s="94" t="s">
        <v>77</v>
      </c>
      <c r="H743" s="94" t="s">
        <v>70</v>
      </c>
      <c r="I743" s="94" t="s">
        <v>2749</v>
      </c>
      <c r="J743" s="94" t="s">
        <v>2750</v>
      </c>
      <c r="K743" s="94"/>
      <c r="L743" s="52" t="str">
        <f>HYPERLINK("https://zibs.nl/wiki/VerpleegkundigeInterventie-v3.1(2017NL)#InterventieNICCodelijst","InterventieNICCodelijst")</f>
        <v>InterventieNICCodelijst</v>
      </c>
      <c r="M743" s="94"/>
      <c r="N743" s="53"/>
      <c r="O743" s="54"/>
    </row>
    <row r="744" spans="1:15" ht="15" x14ac:dyDescent="0.25">
      <c r="A744" s="91" t="s">
        <v>845</v>
      </c>
      <c r="B744" t="s">
        <v>2746</v>
      </c>
      <c r="C744" s="93"/>
      <c r="D744" s="93"/>
      <c r="E744" s="94"/>
      <c r="F744" s="94"/>
      <c r="G744" s="94"/>
      <c r="H744" s="94"/>
      <c r="I744" s="94"/>
      <c r="J744" s="94"/>
      <c r="K744" s="94"/>
      <c r="L744" s="52" t="str">
        <f>HYPERLINK("https://zibs.nl/wiki/VerpleegkundigeInterventie-v3.1(2017NL)#InterventieSnomedCodelijst","InterventieSnomedCodelijst")</f>
        <v>InterventieSnomedCodelijst</v>
      </c>
      <c r="M744" s="94"/>
      <c r="N744" s="53"/>
      <c r="O744" s="54"/>
    </row>
    <row r="745" spans="1:15" ht="25.5" x14ac:dyDescent="0.25">
      <c r="A745" s="91" t="s">
        <v>845</v>
      </c>
      <c r="B745" t="s">
        <v>2746</v>
      </c>
      <c r="C745" s="93" t="s">
        <v>799</v>
      </c>
      <c r="D745" s="93"/>
      <c r="E745" s="94" t="s">
        <v>800</v>
      </c>
      <c r="F745" s="94"/>
      <c r="G745" s="94" t="s">
        <v>69</v>
      </c>
      <c r="H745" s="94" t="s">
        <v>110</v>
      </c>
      <c r="I745" s="94" t="s">
        <v>2751</v>
      </c>
      <c r="J745" s="94" t="s">
        <v>2752</v>
      </c>
      <c r="K745" s="94"/>
      <c r="L745" s="98" t="s">
        <v>113</v>
      </c>
      <c r="M745" s="94"/>
      <c r="N745" s="53"/>
      <c r="O745" s="54"/>
    </row>
    <row r="746" spans="1:15" ht="25.5" x14ac:dyDescent="0.25">
      <c r="A746" s="91" t="s">
        <v>845</v>
      </c>
      <c r="B746" t="s">
        <v>2746</v>
      </c>
      <c r="C746" s="93" t="s">
        <v>1340</v>
      </c>
      <c r="D746" s="93"/>
      <c r="E746" s="94" t="s">
        <v>1342</v>
      </c>
      <c r="F746" s="94"/>
      <c r="G746" s="94" t="s">
        <v>69</v>
      </c>
      <c r="H746" s="94" t="s">
        <v>110</v>
      </c>
      <c r="I746" s="94" t="s">
        <v>2753</v>
      </c>
      <c r="J746" s="94" t="s">
        <v>2754</v>
      </c>
      <c r="K746" s="94"/>
      <c r="L746" s="98" t="s">
        <v>2755</v>
      </c>
      <c r="M746" s="94"/>
      <c r="N746" s="53"/>
      <c r="O746" s="54"/>
    </row>
    <row r="747" spans="1:15" ht="25.5" x14ac:dyDescent="0.25">
      <c r="A747" s="91" t="s">
        <v>845</v>
      </c>
      <c r="B747" t="s">
        <v>2746</v>
      </c>
      <c r="C747" s="96" t="s">
        <v>2756</v>
      </c>
      <c r="D747" s="96"/>
      <c r="E747" s="97" t="s">
        <v>846</v>
      </c>
      <c r="F747" s="97"/>
      <c r="G747" s="97" t="s">
        <v>163</v>
      </c>
      <c r="H747" s="97" t="s">
        <v>83</v>
      </c>
      <c r="I747" s="97" t="s">
        <v>2757</v>
      </c>
      <c r="J747" s="97" t="s">
        <v>2758</v>
      </c>
      <c r="K747" s="97" t="s">
        <v>2759</v>
      </c>
      <c r="L747" s="52" t="str">
        <f t="shared" ref="L747:L752" si="10">HYPERLINK("https://zibs.nl/wiki/VerpleegkundigeInterventie-v3.1(2017NL)#","")</f>
        <v/>
      </c>
      <c r="M747" s="97"/>
      <c r="N747" s="53"/>
      <c r="O747" s="54"/>
    </row>
    <row r="748" spans="1:15" ht="38.25" x14ac:dyDescent="0.25">
      <c r="A748" s="91" t="s">
        <v>845</v>
      </c>
      <c r="B748" t="s">
        <v>2746</v>
      </c>
      <c r="C748" s="93" t="s">
        <v>2760</v>
      </c>
      <c r="D748" s="93"/>
      <c r="E748" s="94" t="s">
        <v>2761</v>
      </c>
      <c r="F748" s="94" t="s">
        <v>97</v>
      </c>
      <c r="G748" s="94" t="s">
        <v>69</v>
      </c>
      <c r="H748" s="94" t="s">
        <v>70</v>
      </c>
      <c r="I748" s="94" t="s">
        <v>2762</v>
      </c>
      <c r="J748" s="94" t="s">
        <v>2763</v>
      </c>
      <c r="K748" s="94"/>
      <c r="L748" s="52" t="str">
        <f t="shared" si="10"/>
        <v/>
      </c>
      <c r="M748" s="94"/>
      <c r="N748" s="53"/>
      <c r="O748" s="54"/>
    </row>
    <row r="749" spans="1:15" ht="15" x14ac:dyDescent="0.25">
      <c r="A749" s="91" t="s">
        <v>845</v>
      </c>
      <c r="B749" t="s">
        <v>2746</v>
      </c>
      <c r="C749" s="93" t="s">
        <v>1463</v>
      </c>
      <c r="D749" s="93"/>
      <c r="E749" s="94" t="s">
        <v>1464</v>
      </c>
      <c r="F749" s="94" t="s">
        <v>97</v>
      </c>
      <c r="G749" s="94" t="s">
        <v>69</v>
      </c>
      <c r="H749" s="94" t="s">
        <v>70</v>
      </c>
      <c r="I749" s="94" t="s">
        <v>2764</v>
      </c>
      <c r="J749" s="94" t="s">
        <v>2765</v>
      </c>
      <c r="K749" s="94"/>
      <c r="L749" s="52" t="str">
        <f t="shared" si="10"/>
        <v/>
      </c>
      <c r="M749" s="94"/>
      <c r="N749" s="53"/>
      <c r="O749" s="54"/>
    </row>
    <row r="750" spans="1:15" ht="25.5" x14ac:dyDescent="0.25">
      <c r="A750" s="91" t="s">
        <v>845</v>
      </c>
      <c r="B750" t="s">
        <v>2746</v>
      </c>
      <c r="C750" s="93" t="s">
        <v>1636</v>
      </c>
      <c r="D750" s="93"/>
      <c r="E750" s="94" t="s">
        <v>1637</v>
      </c>
      <c r="F750" s="94" t="s">
        <v>68</v>
      </c>
      <c r="G750" s="94" t="s">
        <v>77</v>
      </c>
      <c r="H750" s="94" t="s">
        <v>70</v>
      </c>
      <c r="I750" s="94" t="s">
        <v>2766</v>
      </c>
      <c r="J750" s="94" t="s">
        <v>2767</v>
      </c>
      <c r="K750" s="94"/>
      <c r="L750" s="52" t="str">
        <f t="shared" si="10"/>
        <v/>
      </c>
      <c r="M750" s="94"/>
      <c r="N750" s="53"/>
      <c r="O750" s="54"/>
    </row>
    <row r="751" spans="1:15" ht="38.25" x14ac:dyDescent="0.25">
      <c r="A751" s="91" t="s">
        <v>845</v>
      </c>
      <c r="B751" t="s">
        <v>2746</v>
      </c>
      <c r="C751" s="93" t="s">
        <v>2768</v>
      </c>
      <c r="D751" s="93"/>
      <c r="E751" s="94" t="s">
        <v>2769</v>
      </c>
      <c r="F751" s="94" t="s">
        <v>88</v>
      </c>
      <c r="G751" s="94" t="s">
        <v>69</v>
      </c>
      <c r="H751" s="94" t="s">
        <v>70</v>
      </c>
      <c r="I751" s="94" t="s">
        <v>2770</v>
      </c>
      <c r="J751" s="94" t="s">
        <v>2771</v>
      </c>
      <c r="K751" s="94"/>
      <c r="L751" s="52" t="str">
        <f t="shared" si="10"/>
        <v/>
      </c>
      <c r="M751" s="94"/>
      <c r="N751" s="53"/>
      <c r="O751" s="54"/>
    </row>
    <row r="752" spans="1:15" ht="25.5" x14ac:dyDescent="0.25">
      <c r="A752" s="91" t="s">
        <v>845</v>
      </c>
      <c r="B752" t="s">
        <v>2746</v>
      </c>
      <c r="C752" s="93" t="s">
        <v>2772</v>
      </c>
      <c r="D752" s="93"/>
      <c r="E752" s="94" t="s">
        <v>2773</v>
      </c>
      <c r="F752" s="94" t="s">
        <v>88</v>
      </c>
      <c r="G752" s="94" t="s">
        <v>69</v>
      </c>
      <c r="H752" s="94" t="s">
        <v>70</v>
      </c>
      <c r="I752" s="94" t="s">
        <v>2774</v>
      </c>
      <c r="J752" s="94" t="s">
        <v>2775</v>
      </c>
      <c r="K752" s="94"/>
      <c r="L752" s="52" t="str">
        <f t="shared" si="10"/>
        <v/>
      </c>
      <c r="M752" s="94"/>
      <c r="N752" s="53"/>
      <c r="O752" s="54"/>
    </row>
    <row r="753" spans="1:15" ht="25.5" x14ac:dyDescent="0.25">
      <c r="A753" s="91" t="s">
        <v>845</v>
      </c>
      <c r="B753" t="s">
        <v>2746</v>
      </c>
      <c r="C753" s="95" t="s">
        <v>773</v>
      </c>
      <c r="D753" s="95"/>
      <c r="E753" s="94" t="s">
        <v>775</v>
      </c>
      <c r="F753" s="94"/>
      <c r="G753" s="94" t="s">
        <v>158</v>
      </c>
      <c r="H753" s="94" t="s">
        <v>110</v>
      </c>
      <c r="I753" s="94" t="s">
        <v>2776</v>
      </c>
      <c r="J753" s="94" t="s">
        <v>2777</v>
      </c>
      <c r="K753" s="94"/>
      <c r="L753" s="98" t="s">
        <v>488</v>
      </c>
      <c r="M753" s="94"/>
      <c r="N753" s="53"/>
      <c r="O753" s="54"/>
    </row>
    <row r="754" spans="1:15" ht="25.5" x14ac:dyDescent="0.25">
      <c r="A754" s="91" t="s">
        <v>845</v>
      </c>
      <c r="B754" t="s">
        <v>2746</v>
      </c>
      <c r="C754" s="95" t="s">
        <v>2778</v>
      </c>
      <c r="D754" s="95"/>
      <c r="E754" s="94" t="s">
        <v>2779</v>
      </c>
      <c r="F754" s="94" t="s">
        <v>68</v>
      </c>
      <c r="G754" s="94" t="s">
        <v>69</v>
      </c>
      <c r="H754" s="94" t="s">
        <v>70</v>
      </c>
      <c r="I754" s="94" t="s">
        <v>2780</v>
      </c>
      <c r="J754" s="94" t="s">
        <v>2781</v>
      </c>
      <c r="K754" s="94"/>
      <c r="L754" s="52" t="str">
        <f>HYPERLINK("https://zibs.nl/wiki/VerpleegkundigeInterventie-v3.1(2017NL)#","")</f>
        <v/>
      </c>
      <c r="M754" s="94"/>
      <c r="N754" s="53"/>
      <c r="O754" s="54"/>
    </row>
    <row r="755" spans="1:15" ht="25.5" x14ac:dyDescent="0.25">
      <c r="A755" s="91" t="s">
        <v>845</v>
      </c>
      <c r="B755" t="s">
        <v>2746</v>
      </c>
      <c r="C755" s="105" t="s">
        <v>13</v>
      </c>
      <c r="D755" s="105"/>
      <c r="E755" s="97" t="s">
        <v>2782</v>
      </c>
      <c r="F755" s="97"/>
      <c r="G755" s="97" t="s">
        <v>69</v>
      </c>
      <c r="H755" s="97" t="s">
        <v>83</v>
      </c>
      <c r="I755" s="97" t="s">
        <v>2783</v>
      </c>
      <c r="J755" s="97" t="s">
        <v>2784</v>
      </c>
      <c r="K755" s="97"/>
      <c r="L755" s="52" t="str">
        <f>HYPERLINK("https://zibs.nl/wiki/VerpleegkundigeInterventie-v3.1(2017NL)#","")</f>
        <v/>
      </c>
      <c r="M755" s="97"/>
      <c r="N755" s="53"/>
      <c r="O755" s="54"/>
    </row>
    <row r="756" spans="1:15" ht="25.5" x14ac:dyDescent="0.25">
      <c r="A756" s="91" t="s">
        <v>845</v>
      </c>
      <c r="B756" t="s">
        <v>2746</v>
      </c>
      <c r="C756" s="95" t="s">
        <v>812</v>
      </c>
      <c r="D756" s="95"/>
      <c r="E756" s="94" t="s">
        <v>1149</v>
      </c>
      <c r="F756" s="94"/>
      <c r="G756" s="94" t="s">
        <v>109</v>
      </c>
      <c r="H756" s="94" t="s">
        <v>399</v>
      </c>
      <c r="I756" s="94" t="s">
        <v>2785</v>
      </c>
      <c r="J756" s="94" t="s">
        <v>2786</v>
      </c>
      <c r="K756" s="94"/>
      <c r="L756" s="98" t="s">
        <v>402</v>
      </c>
      <c r="M756" s="94"/>
      <c r="N756" s="53"/>
      <c r="O756" s="54"/>
    </row>
    <row r="757" spans="1:15" ht="38.25" x14ac:dyDescent="0.25">
      <c r="A757" s="91" t="s">
        <v>845</v>
      </c>
      <c r="B757" t="s">
        <v>2746</v>
      </c>
      <c r="C757" s="95" t="s">
        <v>2787</v>
      </c>
      <c r="D757" s="95"/>
      <c r="E757" s="94" t="s">
        <v>2788</v>
      </c>
      <c r="F757" s="94"/>
      <c r="G757" s="94" t="s">
        <v>109</v>
      </c>
      <c r="H757" s="94" t="s">
        <v>399</v>
      </c>
      <c r="I757" s="94" t="s">
        <v>2789</v>
      </c>
      <c r="J757" s="94" t="s">
        <v>2790</v>
      </c>
      <c r="K757" s="94"/>
      <c r="L757" s="98" t="s">
        <v>1109</v>
      </c>
      <c r="M757" s="94"/>
      <c r="N757" s="53"/>
      <c r="O757" s="54"/>
    </row>
    <row r="758" spans="1:15" ht="25.5" x14ac:dyDescent="0.25">
      <c r="A758" s="91" t="s">
        <v>845</v>
      </c>
      <c r="B758" t="s">
        <v>2746</v>
      </c>
      <c r="C758" s="95" t="s">
        <v>18</v>
      </c>
      <c r="D758" s="95"/>
      <c r="E758" s="94" t="s">
        <v>863</v>
      </c>
      <c r="F758" s="94"/>
      <c r="G758" s="94" t="s">
        <v>109</v>
      </c>
      <c r="H758" s="94" t="s">
        <v>399</v>
      </c>
      <c r="I758" s="94" t="s">
        <v>2791</v>
      </c>
      <c r="J758" s="94" t="s">
        <v>2792</v>
      </c>
      <c r="K758" s="94"/>
      <c r="L758" s="98" t="s">
        <v>2003</v>
      </c>
      <c r="M758" s="94"/>
      <c r="N758" s="53"/>
      <c r="O758" s="54"/>
    </row>
    <row r="759" spans="1:15" ht="38.25" x14ac:dyDescent="0.25">
      <c r="A759" s="91" t="s">
        <v>845</v>
      </c>
      <c r="B759" t="s">
        <v>2746</v>
      </c>
      <c r="C759" s="95" t="s">
        <v>634</v>
      </c>
      <c r="D759" s="95"/>
      <c r="E759" s="94" t="s">
        <v>635</v>
      </c>
      <c r="F759" s="94"/>
      <c r="G759" s="94" t="s">
        <v>158</v>
      </c>
      <c r="H759" s="94" t="s">
        <v>399</v>
      </c>
      <c r="I759" s="94" t="s">
        <v>2793</v>
      </c>
      <c r="J759" s="94" t="s">
        <v>2794</v>
      </c>
      <c r="K759" s="94"/>
      <c r="L759" s="98" t="s">
        <v>402</v>
      </c>
      <c r="M759" s="94"/>
      <c r="N759" s="53"/>
      <c r="O759" s="54"/>
    </row>
    <row r="760" spans="1:15" ht="25.5" x14ac:dyDescent="0.25">
      <c r="A760" s="91" t="s">
        <v>845</v>
      </c>
      <c r="B760" t="s">
        <v>2746</v>
      </c>
      <c r="C760" s="95" t="s">
        <v>66</v>
      </c>
      <c r="D760" s="95"/>
      <c r="E760" s="94" t="s">
        <v>67</v>
      </c>
      <c r="F760" s="94" t="s">
        <v>68</v>
      </c>
      <c r="G760" s="94" t="s">
        <v>69</v>
      </c>
      <c r="H760" s="94" t="s">
        <v>70</v>
      </c>
      <c r="I760" s="94" t="s">
        <v>2795</v>
      </c>
      <c r="J760" s="94" t="s">
        <v>2796</v>
      </c>
      <c r="K760" s="94" t="s">
        <v>73</v>
      </c>
      <c r="L760" s="52" t="str">
        <f>HYPERLINK("https://zibs.nl/wiki/VerpleegkundigeInterventie-v3.1(2017NL)#","")</f>
        <v/>
      </c>
      <c r="M760" s="94"/>
      <c r="N760" s="53"/>
      <c r="O760" s="54"/>
    </row>
    <row r="761" spans="1:15" ht="38.25" x14ac:dyDescent="0.25">
      <c r="A761" s="91" t="s">
        <v>2027</v>
      </c>
      <c r="B761" t="s">
        <v>2797</v>
      </c>
      <c r="C761" s="91" t="s">
        <v>2027</v>
      </c>
      <c r="D761" s="91"/>
      <c r="E761" s="92" t="s">
        <v>2028</v>
      </c>
      <c r="F761" s="92"/>
      <c r="G761" s="92"/>
      <c r="H761" s="92" t="s">
        <v>62</v>
      </c>
      <c r="I761" s="92" t="s">
        <v>2798</v>
      </c>
      <c r="J761" s="92" t="s">
        <v>2799</v>
      </c>
      <c r="K761" s="92"/>
      <c r="L761" s="52" t="str">
        <f>HYPERLINK("https://zibs.nl/wiki/Verstrekkingsverzoek-v1.0.1(2017NL)#","")</f>
        <v/>
      </c>
      <c r="M761" s="92"/>
      <c r="N761" s="53"/>
      <c r="O761" s="54"/>
    </row>
    <row r="762" spans="1:15" ht="38.25" x14ac:dyDescent="0.25">
      <c r="A762" s="91" t="s">
        <v>2027</v>
      </c>
      <c r="B762" t="s">
        <v>2797</v>
      </c>
      <c r="C762" s="93" t="s">
        <v>2800</v>
      </c>
      <c r="D762" s="93"/>
      <c r="E762" s="94" t="s">
        <v>2801</v>
      </c>
      <c r="F762" s="94"/>
      <c r="G762" s="94" t="s">
        <v>69</v>
      </c>
      <c r="H762" s="94" t="s">
        <v>399</v>
      </c>
      <c r="I762" s="94" t="s">
        <v>2802</v>
      </c>
      <c r="J762" s="94" t="s">
        <v>2803</v>
      </c>
      <c r="K762" s="94"/>
      <c r="L762" s="98" t="s">
        <v>975</v>
      </c>
      <c r="M762" s="94"/>
      <c r="N762" s="53"/>
      <c r="O762" s="54"/>
    </row>
    <row r="763" spans="1:15" ht="51" x14ac:dyDescent="0.25">
      <c r="A763" s="91" t="s">
        <v>2027</v>
      </c>
      <c r="B763" t="s">
        <v>2797</v>
      </c>
      <c r="C763" s="93" t="s">
        <v>2804</v>
      </c>
      <c r="D763" s="93"/>
      <c r="E763" s="94" t="s">
        <v>2805</v>
      </c>
      <c r="F763" s="94"/>
      <c r="G763" s="94" t="s">
        <v>77</v>
      </c>
      <c r="H763" s="94" t="s">
        <v>110</v>
      </c>
      <c r="I763" s="94" t="s">
        <v>2806</v>
      </c>
      <c r="J763" s="94" t="s">
        <v>2807</v>
      </c>
      <c r="K763" s="94"/>
      <c r="L763" s="98" t="s">
        <v>2808</v>
      </c>
      <c r="M763" s="94"/>
      <c r="N763" s="53"/>
      <c r="O763" s="54"/>
    </row>
    <row r="764" spans="1:15" ht="38.25" x14ac:dyDescent="0.25">
      <c r="A764" s="91" t="s">
        <v>2027</v>
      </c>
      <c r="B764" t="s">
        <v>2797</v>
      </c>
      <c r="C764" s="93" t="s">
        <v>2809</v>
      </c>
      <c r="D764" s="93"/>
      <c r="E764" s="94" t="s">
        <v>2810</v>
      </c>
      <c r="F764" s="94" t="s">
        <v>88</v>
      </c>
      <c r="G764" s="94" t="s">
        <v>69</v>
      </c>
      <c r="H764" s="94" t="s">
        <v>70</v>
      </c>
      <c r="I764" s="94" t="s">
        <v>2811</v>
      </c>
      <c r="J764" s="94" t="s">
        <v>2812</v>
      </c>
      <c r="K764" s="94"/>
      <c r="L764" s="52" t="str">
        <f>HYPERLINK("https://zibs.nl/wiki/Verstrekkingsverzoek-v1.0.1(2017NL)#","")</f>
        <v/>
      </c>
      <c r="M764" s="94"/>
      <c r="N764" s="53"/>
      <c r="O764" s="54"/>
    </row>
    <row r="765" spans="1:15" ht="51" x14ac:dyDescent="0.25">
      <c r="A765" s="91" t="s">
        <v>2027</v>
      </c>
      <c r="B765" t="s">
        <v>2797</v>
      </c>
      <c r="C765" s="93" t="s">
        <v>2813</v>
      </c>
      <c r="D765" s="93"/>
      <c r="E765" s="94" t="s">
        <v>711</v>
      </c>
      <c r="F765" s="94"/>
      <c r="G765" s="94" t="s">
        <v>69</v>
      </c>
      <c r="H765" s="94" t="s">
        <v>110</v>
      </c>
      <c r="I765" s="94" t="s">
        <v>2814</v>
      </c>
      <c r="J765" s="94" t="s">
        <v>2815</v>
      </c>
      <c r="K765" s="94"/>
      <c r="L765" s="98" t="s">
        <v>713</v>
      </c>
      <c r="M765" s="94"/>
      <c r="N765" s="53"/>
      <c r="O765" s="54"/>
    </row>
    <row r="766" spans="1:15" ht="38.25" x14ac:dyDescent="0.25">
      <c r="A766" s="91" t="s">
        <v>2027</v>
      </c>
      <c r="B766" t="s">
        <v>2797</v>
      </c>
      <c r="C766" s="93" t="s">
        <v>2816</v>
      </c>
      <c r="D766" s="93"/>
      <c r="E766" s="94" t="s">
        <v>2817</v>
      </c>
      <c r="F766" s="94" t="s">
        <v>505</v>
      </c>
      <c r="G766" s="94" t="s">
        <v>69</v>
      </c>
      <c r="H766" s="94" t="s">
        <v>70</v>
      </c>
      <c r="I766" s="94" t="s">
        <v>2818</v>
      </c>
      <c r="J766" s="94" t="s">
        <v>2819</v>
      </c>
      <c r="K766" s="94"/>
      <c r="L766" s="52" t="str">
        <f>HYPERLINK("https://zibs.nl/wiki/Verstrekkingsverzoek-v1.0.1(2017NL)#","")</f>
        <v/>
      </c>
      <c r="M766" s="94"/>
      <c r="N766" s="53"/>
      <c r="O766" s="54"/>
    </row>
    <row r="767" spans="1:15" ht="38.25" x14ac:dyDescent="0.25">
      <c r="A767" s="91" t="s">
        <v>2027</v>
      </c>
      <c r="B767" t="s">
        <v>2797</v>
      </c>
      <c r="C767" s="93" t="s">
        <v>2820</v>
      </c>
      <c r="D767" s="93"/>
      <c r="E767" s="94" t="s">
        <v>96</v>
      </c>
      <c r="F767" s="94" t="s">
        <v>97</v>
      </c>
      <c r="G767" s="94" t="s">
        <v>69</v>
      </c>
      <c r="H767" s="94" t="s">
        <v>70</v>
      </c>
      <c r="I767" s="94" t="s">
        <v>2821</v>
      </c>
      <c r="J767" s="94" t="s">
        <v>278</v>
      </c>
      <c r="K767" s="94"/>
      <c r="L767" s="52" t="str">
        <f>HYPERLINK("https://zibs.nl/wiki/Verstrekkingsverzoek-v1.0.1(2017NL)#","")</f>
        <v/>
      </c>
      <c r="M767" s="94"/>
      <c r="N767" s="53"/>
      <c r="O767" s="54"/>
    </row>
    <row r="768" spans="1:15" ht="38.25" x14ac:dyDescent="0.25">
      <c r="A768" s="91" t="s">
        <v>2027</v>
      </c>
      <c r="B768" t="s">
        <v>2797</v>
      </c>
      <c r="C768" s="93" t="s">
        <v>2058</v>
      </c>
      <c r="D768" s="93"/>
      <c r="E768" s="94" t="s">
        <v>2059</v>
      </c>
      <c r="F768" s="94" t="s">
        <v>68</v>
      </c>
      <c r="G768" s="94" t="s">
        <v>69</v>
      </c>
      <c r="H768" s="94" t="s">
        <v>70</v>
      </c>
      <c r="I768" s="94" t="s">
        <v>2822</v>
      </c>
      <c r="J768" s="94" t="s">
        <v>2058</v>
      </c>
      <c r="K768" s="94"/>
      <c r="L768" s="52" t="str">
        <f>HYPERLINK("https://zibs.nl/wiki/Verstrekkingsverzoek-v1.0.1(2017NL)#","")</f>
        <v/>
      </c>
      <c r="M768" s="94"/>
      <c r="N768" s="53"/>
      <c r="O768" s="54"/>
    </row>
    <row r="769" spans="1:15" ht="38.25" x14ac:dyDescent="0.25">
      <c r="A769" s="91" t="s">
        <v>2027</v>
      </c>
      <c r="B769" t="s">
        <v>2797</v>
      </c>
      <c r="C769" s="93" t="s">
        <v>2823</v>
      </c>
      <c r="D769" s="93"/>
      <c r="E769" s="94" t="s">
        <v>2824</v>
      </c>
      <c r="F769" s="94" t="s">
        <v>76</v>
      </c>
      <c r="G769" s="94" t="s">
        <v>158</v>
      </c>
      <c r="H769" s="94" t="s">
        <v>70</v>
      </c>
      <c r="I769" s="94" t="s">
        <v>2825</v>
      </c>
      <c r="J769" s="94" t="s">
        <v>2826</v>
      </c>
      <c r="K769" s="94"/>
      <c r="L769" s="52" t="str">
        <f>HYPERLINK("https://zibs.nl/wiki/Verstrekkingsverzoek-v1.0.1(2017NL)#AanvullendeWensenCodelijst","AanvullendeWensenCodelijst")</f>
        <v>AanvullendeWensenCodelijst</v>
      </c>
      <c r="M769" s="94"/>
      <c r="N769" s="53"/>
      <c r="O769" s="54"/>
    </row>
    <row r="770" spans="1:15" ht="51" x14ac:dyDescent="0.25">
      <c r="A770" s="91" t="s">
        <v>2027</v>
      </c>
      <c r="B770" t="s">
        <v>2797</v>
      </c>
      <c r="C770" s="93" t="s">
        <v>66</v>
      </c>
      <c r="D770" s="93"/>
      <c r="E770" s="94" t="s">
        <v>67</v>
      </c>
      <c r="F770" s="94" t="s">
        <v>68</v>
      </c>
      <c r="G770" s="94" t="s">
        <v>69</v>
      </c>
      <c r="H770" s="94" t="s">
        <v>70</v>
      </c>
      <c r="I770" s="94" t="s">
        <v>2827</v>
      </c>
      <c r="J770" s="94" t="s">
        <v>2828</v>
      </c>
      <c r="K770" s="94" t="s">
        <v>73</v>
      </c>
      <c r="L770" s="52" t="str">
        <f>HYPERLINK("https://zibs.nl/wiki/Verstrekkingsverzoek-v1.0.1(2017NL)#","")</f>
        <v/>
      </c>
      <c r="M770" s="94"/>
      <c r="N770" s="53"/>
      <c r="O770" s="54"/>
    </row>
    <row r="771" spans="1:15" ht="25.5" x14ac:dyDescent="0.25">
      <c r="A771" s="91" t="s">
        <v>2829</v>
      </c>
      <c r="B771" t="s">
        <v>2830</v>
      </c>
      <c r="C771" s="91" t="s">
        <v>2829</v>
      </c>
      <c r="D771" s="91"/>
      <c r="E771" s="92" t="s">
        <v>2831</v>
      </c>
      <c r="F771" s="92"/>
      <c r="G771" s="92"/>
      <c r="H771" s="92" t="s">
        <v>62</v>
      </c>
      <c r="I771" s="92" t="s">
        <v>2832</v>
      </c>
      <c r="J771" s="92" t="s">
        <v>2833</v>
      </c>
      <c r="K771" s="92"/>
      <c r="L771" s="52" t="str">
        <f>HYPERLINK("https://zibs.nl/wiki/VermogenTotZichWassen-v3.1(2017NL)#","")</f>
        <v/>
      </c>
      <c r="M771" s="92"/>
      <c r="N771" s="53"/>
      <c r="O771" s="54"/>
    </row>
    <row r="772" spans="1:15" ht="38.25" x14ac:dyDescent="0.25">
      <c r="A772" s="91" t="s">
        <v>2829</v>
      </c>
      <c r="B772" t="s">
        <v>2830</v>
      </c>
      <c r="C772" s="93" t="s">
        <v>2834</v>
      </c>
      <c r="D772" s="93"/>
      <c r="E772" s="94" t="s">
        <v>2835</v>
      </c>
      <c r="F772" s="94" t="s">
        <v>474</v>
      </c>
      <c r="G772" s="94" t="s">
        <v>77</v>
      </c>
      <c r="H772" s="94" t="s">
        <v>70</v>
      </c>
      <c r="I772" s="94" t="s">
        <v>2836</v>
      </c>
      <c r="J772" s="94" t="s">
        <v>2837</v>
      </c>
      <c r="K772" s="94" t="s">
        <v>2838</v>
      </c>
      <c r="L772" s="52" t="str">
        <f>HYPERLINK("https://zibs.nl/wiki/VermogenTotZichWassen-v3.1(2017NL)#ZichWassenCodelijst","ZichWassenCodelijst")</f>
        <v>ZichWassenCodelijst</v>
      </c>
      <c r="M772" s="94"/>
      <c r="N772" s="53"/>
      <c r="O772" s="54"/>
    </row>
    <row r="773" spans="1:15" ht="25.5" x14ac:dyDescent="0.25">
      <c r="A773" s="91" t="s">
        <v>2829</v>
      </c>
      <c r="B773" t="s">
        <v>2830</v>
      </c>
      <c r="C773" s="93" t="s">
        <v>2839</v>
      </c>
      <c r="D773" s="93"/>
      <c r="E773" s="94" t="s">
        <v>2840</v>
      </c>
      <c r="F773" s="94" t="s">
        <v>76</v>
      </c>
      <c r="G773" s="94" t="s">
        <v>158</v>
      </c>
      <c r="H773" s="94" t="s">
        <v>70</v>
      </c>
      <c r="I773" s="94" t="s">
        <v>2841</v>
      </c>
      <c r="J773" s="94" t="s">
        <v>2842</v>
      </c>
      <c r="K773" s="94" t="s">
        <v>2843</v>
      </c>
      <c r="L773" s="52" t="str">
        <f>HYPERLINK("https://zibs.nl/wiki/VermogenTotZichWassen-v3.1(2017NL)#TeWassenLichaamsdeelCodelijst","TeWassenLichaamsdeelCodelijst")</f>
        <v>TeWassenLichaamsdeelCodelijst</v>
      </c>
      <c r="M773" s="94"/>
      <c r="N773" s="53"/>
      <c r="O773" s="54"/>
    </row>
    <row r="774" spans="1:15" ht="38.25" x14ac:dyDescent="0.25">
      <c r="A774" s="91" t="s">
        <v>2844</v>
      </c>
      <c r="B774" t="s">
        <v>2845</v>
      </c>
      <c r="C774" s="91" t="s">
        <v>2844</v>
      </c>
      <c r="D774" s="91"/>
      <c r="E774" s="92" t="s">
        <v>2846</v>
      </c>
      <c r="F774" s="92"/>
      <c r="G774" s="92"/>
      <c r="H774" s="92" t="s">
        <v>62</v>
      </c>
      <c r="I774" s="92" t="s">
        <v>2847</v>
      </c>
      <c r="J774" s="92" t="s">
        <v>2848</v>
      </c>
      <c r="K774" s="92" t="s">
        <v>2849</v>
      </c>
      <c r="L774" s="52" t="str">
        <f>HYPERLINK("https://zibs.nl/wiki/VermogenTotToiletgang-v3.1(2017NL)#","")</f>
        <v/>
      </c>
      <c r="M774" s="92"/>
      <c r="N774" s="53"/>
      <c r="O774" s="54"/>
    </row>
    <row r="775" spans="1:15" ht="38.25" x14ac:dyDescent="0.25">
      <c r="A775" s="91" t="s">
        <v>2844</v>
      </c>
      <c r="B775" t="s">
        <v>2845</v>
      </c>
      <c r="C775" s="93" t="s">
        <v>1311</v>
      </c>
      <c r="D775" s="93"/>
      <c r="E775" s="94" t="s">
        <v>1312</v>
      </c>
      <c r="F775" s="94" t="s">
        <v>474</v>
      </c>
      <c r="G775" s="94" t="s">
        <v>69</v>
      </c>
      <c r="H775" s="94" t="s">
        <v>70</v>
      </c>
      <c r="I775" s="94" t="s">
        <v>2850</v>
      </c>
      <c r="J775" s="94" t="s">
        <v>2851</v>
      </c>
      <c r="K775" s="94" t="s">
        <v>2852</v>
      </c>
      <c r="L775" s="52" t="str">
        <f>HYPERLINK("https://zibs.nl/wiki/VermogenTotToiletgang-v3.1(2017NL)#ToiletgebruikCodelijst","ToiletgebruikCodelijst")</f>
        <v>ToiletgebruikCodelijst</v>
      </c>
      <c r="M775" s="94"/>
      <c r="N775" s="53"/>
      <c r="O775" s="54"/>
    </row>
    <row r="776" spans="1:15" ht="38.25" x14ac:dyDescent="0.25">
      <c r="A776" s="91" t="s">
        <v>2844</v>
      </c>
      <c r="B776" t="s">
        <v>2845</v>
      </c>
      <c r="C776" s="93" t="s">
        <v>2853</v>
      </c>
      <c r="D776" s="93"/>
      <c r="E776" s="94" t="s">
        <v>2854</v>
      </c>
      <c r="F776" s="94" t="s">
        <v>474</v>
      </c>
      <c r="G776" s="94" t="s">
        <v>69</v>
      </c>
      <c r="H776" s="94" t="s">
        <v>70</v>
      </c>
      <c r="I776" s="94" t="s">
        <v>2855</v>
      </c>
      <c r="J776" s="94" t="s">
        <v>2856</v>
      </c>
      <c r="K776" s="94" t="s">
        <v>2857</v>
      </c>
      <c r="L776" s="52" t="str">
        <f>HYPERLINK("https://zibs.nl/wiki/VermogenTotToiletgang-v3.1(2017NL)#ZorgBijMenstruatieCodelijst","ZorgBijMenstruatieCodelijst")</f>
        <v>ZorgBijMenstruatieCodelijst</v>
      </c>
      <c r="M776" s="94"/>
      <c r="N776" s="53"/>
      <c r="O776" s="54"/>
    </row>
    <row r="777" spans="1:15" ht="25.5" x14ac:dyDescent="0.25">
      <c r="A777" s="91" t="s">
        <v>2858</v>
      </c>
      <c r="B777" t="s">
        <v>2859</v>
      </c>
      <c r="C777" s="91" t="s">
        <v>2858</v>
      </c>
      <c r="D777" s="91"/>
      <c r="E777" s="92" t="s">
        <v>2860</v>
      </c>
      <c r="F777" s="92"/>
      <c r="G777" s="92"/>
      <c r="H777" s="92" t="s">
        <v>62</v>
      </c>
      <c r="I777" s="92" t="s">
        <v>2861</v>
      </c>
      <c r="J777" s="92" t="s">
        <v>2862</v>
      </c>
      <c r="K777" s="92"/>
      <c r="L777" s="52" t="str">
        <f>HYPERLINK("https://zibs.nl/wiki/VermogenTotDrinken-v3.1(2017NL)#","")</f>
        <v/>
      </c>
      <c r="M777" s="92"/>
      <c r="N777" s="53"/>
      <c r="O777" s="54"/>
    </row>
    <row r="778" spans="1:15" ht="25.5" x14ac:dyDescent="0.25">
      <c r="A778" s="91" t="s">
        <v>2858</v>
      </c>
      <c r="B778" t="s">
        <v>2859</v>
      </c>
      <c r="C778" s="93" t="s">
        <v>2863</v>
      </c>
      <c r="D778" s="93"/>
      <c r="E778" s="94" t="s">
        <v>2864</v>
      </c>
      <c r="F778" s="94" t="s">
        <v>474</v>
      </c>
      <c r="G778" s="94" t="s">
        <v>77</v>
      </c>
      <c r="H778" s="94" t="s">
        <v>70</v>
      </c>
      <c r="I778" s="94" t="s">
        <v>2865</v>
      </c>
      <c r="J778" s="94" t="s">
        <v>2866</v>
      </c>
      <c r="K778" s="94" t="s">
        <v>2867</v>
      </c>
      <c r="L778" s="52" t="str">
        <f>HYPERLINK("https://zibs.nl/wiki/VermogenTotDrinken-v3.1(2017NL)#DrinkenCodelijst","DrinkenCodelijst")</f>
        <v>DrinkenCodelijst</v>
      </c>
      <c r="M778" s="94"/>
      <c r="N778" s="53"/>
      <c r="O778" s="54"/>
    </row>
    <row r="779" spans="1:15" ht="25.5" x14ac:dyDescent="0.25">
      <c r="A779" s="91" t="s">
        <v>2858</v>
      </c>
      <c r="B779" t="s">
        <v>2859</v>
      </c>
      <c r="C779" s="93" t="s">
        <v>2868</v>
      </c>
      <c r="D779" s="93"/>
      <c r="E779" s="94" t="s">
        <v>2869</v>
      </c>
      <c r="F779" s="94" t="s">
        <v>76</v>
      </c>
      <c r="G779" s="94" t="s">
        <v>158</v>
      </c>
      <c r="H779" s="94" t="s">
        <v>70</v>
      </c>
      <c r="I779" s="94" t="s">
        <v>2870</v>
      </c>
      <c r="J779" s="94" t="s">
        <v>2871</v>
      </c>
      <c r="K779" s="94" t="s">
        <v>2872</v>
      </c>
      <c r="L779" s="52" t="str">
        <f>HYPERLINK("https://zibs.nl/wiki/VermogenTotDrinken-v3.1(2017NL)#DrinkBeperkingenCodelijst","DrinkBeperkingenCodelijst")</f>
        <v>DrinkBeperkingenCodelijst</v>
      </c>
      <c r="M779" s="94"/>
      <c r="N779" s="53"/>
      <c r="O779" s="54"/>
    </row>
    <row r="780" spans="1:15" ht="38.25" x14ac:dyDescent="0.25">
      <c r="A780" s="91" t="s">
        <v>2873</v>
      </c>
      <c r="B780" t="s">
        <v>2874</v>
      </c>
      <c r="C780" s="91" t="s">
        <v>2873</v>
      </c>
      <c r="D780" s="91"/>
      <c r="E780" s="92" t="s">
        <v>2875</v>
      </c>
      <c r="F780" s="92"/>
      <c r="G780" s="92"/>
      <c r="H780" s="92" t="s">
        <v>62</v>
      </c>
      <c r="I780" s="92" t="s">
        <v>2876</v>
      </c>
      <c r="J780" s="92" t="s">
        <v>2877</v>
      </c>
      <c r="K780" s="92"/>
      <c r="L780" s="52" t="str">
        <f>HYPERLINK("https://zibs.nl/wiki/VermogenTotMondverzorging-v3.1(2017NL)#","")</f>
        <v/>
      </c>
      <c r="M780" s="92"/>
      <c r="N780" s="53"/>
      <c r="O780" s="54"/>
    </row>
    <row r="781" spans="1:15" ht="38.25" x14ac:dyDescent="0.25">
      <c r="A781" s="91" t="s">
        <v>2873</v>
      </c>
      <c r="B781" t="s">
        <v>2874</v>
      </c>
      <c r="C781" s="93" t="s">
        <v>2878</v>
      </c>
      <c r="D781" s="93"/>
      <c r="E781" s="94" t="s">
        <v>2879</v>
      </c>
      <c r="F781" s="94" t="s">
        <v>76</v>
      </c>
      <c r="G781" s="94" t="s">
        <v>77</v>
      </c>
      <c r="H781" s="94" t="s">
        <v>70</v>
      </c>
      <c r="I781" s="94" t="s">
        <v>2880</v>
      </c>
      <c r="J781" s="94" t="s">
        <v>2881</v>
      </c>
      <c r="K781" s="94" t="s">
        <v>2882</v>
      </c>
      <c r="L781" s="52" t="str">
        <f>HYPERLINK("https://zibs.nl/wiki/VermogenTotMondverzorging-v3.1(2017NL)#VerzorgenTandenCodelijst","VerzorgenTandenCodelijst")</f>
        <v>VerzorgenTandenCodelijst</v>
      </c>
      <c r="M781" s="94"/>
      <c r="N781" s="53"/>
      <c r="O781" s="54"/>
    </row>
    <row r="782" spans="1:15" ht="38.25" x14ac:dyDescent="0.25">
      <c r="A782" s="91" t="s">
        <v>2873</v>
      </c>
      <c r="B782" t="s">
        <v>2874</v>
      </c>
      <c r="C782" s="93" t="s">
        <v>2883</v>
      </c>
      <c r="D782" s="93"/>
      <c r="E782" s="94" t="s">
        <v>2884</v>
      </c>
      <c r="F782" s="94"/>
      <c r="G782" s="94" t="s">
        <v>158</v>
      </c>
      <c r="H782" s="94" t="s">
        <v>110</v>
      </c>
      <c r="I782" s="94" t="s">
        <v>2885</v>
      </c>
      <c r="J782" s="94" t="s">
        <v>2886</v>
      </c>
      <c r="K782" s="94"/>
      <c r="L782" s="98" t="s">
        <v>488</v>
      </c>
      <c r="M782" s="94"/>
      <c r="N782" s="53"/>
      <c r="O782" s="54"/>
    </row>
    <row r="783" spans="1:15" ht="15" x14ac:dyDescent="0.25">
      <c r="A783" s="91" t="s">
        <v>2873</v>
      </c>
      <c r="B783" t="s">
        <v>2874</v>
      </c>
      <c r="C783" s="93" t="s">
        <v>789</v>
      </c>
      <c r="D783" s="93"/>
      <c r="E783" s="94" t="s">
        <v>790</v>
      </c>
      <c r="F783" s="94" t="s">
        <v>76</v>
      </c>
      <c r="G783" s="94"/>
      <c r="H783" s="94" t="s">
        <v>70</v>
      </c>
      <c r="I783" s="94" t="s">
        <v>791</v>
      </c>
      <c r="J783" s="94" t="s">
        <v>2887</v>
      </c>
      <c r="K783" s="94"/>
      <c r="L783" s="52" t="str">
        <f>HYPERLINK("https://zibs.nl/wiki/VermogenTotMondverzorging-v3.1(2017NL)#ProtheseTypeCodelijst","ProtheseTypeCodelijst")</f>
        <v>ProtheseTypeCodelijst</v>
      </c>
      <c r="M783" s="94"/>
      <c r="N783" s="53"/>
      <c r="O783" s="54"/>
    </row>
    <row r="784" spans="1:15" ht="15" x14ac:dyDescent="0.25">
      <c r="A784" s="91" t="s">
        <v>23</v>
      </c>
      <c r="B784" t="s">
        <v>2888</v>
      </c>
      <c r="C784" s="91" t="s">
        <v>23</v>
      </c>
      <c r="D784" s="91"/>
      <c r="E784" s="92" t="s">
        <v>2889</v>
      </c>
      <c r="F784" s="92"/>
      <c r="G784" s="92"/>
      <c r="H784" s="92" t="s">
        <v>62</v>
      </c>
      <c r="I784" s="92" t="s">
        <v>2890</v>
      </c>
      <c r="J784" s="92" t="s">
        <v>2891</v>
      </c>
      <c r="K784" s="92"/>
      <c r="L784" s="52" t="str">
        <f>HYPERLINK("https://zibs.nl/wiki/TekstUitslag-v4.1(2017NL)#","")</f>
        <v/>
      </c>
      <c r="M784" s="92"/>
      <c r="N784" s="53"/>
      <c r="O784" s="54"/>
    </row>
    <row r="785" spans="1:15" ht="25.5" x14ac:dyDescent="0.25">
      <c r="A785" s="91" t="s">
        <v>23</v>
      </c>
      <c r="B785" t="s">
        <v>2888</v>
      </c>
      <c r="C785" s="93" t="s">
        <v>2892</v>
      </c>
      <c r="D785" s="93"/>
      <c r="E785" s="94" t="s">
        <v>2893</v>
      </c>
      <c r="F785" s="94" t="s">
        <v>88</v>
      </c>
      <c r="G785" s="94" t="s">
        <v>69</v>
      </c>
      <c r="H785" s="94" t="s">
        <v>70</v>
      </c>
      <c r="I785" s="94" t="s">
        <v>2894</v>
      </c>
      <c r="J785" s="94" t="s">
        <v>2895</v>
      </c>
      <c r="K785" s="94"/>
      <c r="L785" s="52" t="str">
        <f>HYPERLINK("https://zibs.nl/wiki/TekstUitslag-v4.1(2017NL)#","")</f>
        <v/>
      </c>
      <c r="M785" s="94"/>
      <c r="N785" s="53"/>
      <c r="O785" s="54"/>
    </row>
    <row r="786" spans="1:15" ht="25.5" x14ac:dyDescent="0.25">
      <c r="A786" s="91" t="s">
        <v>23</v>
      </c>
      <c r="B786" t="s">
        <v>2888</v>
      </c>
      <c r="C786" s="93" t="s">
        <v>19</v>
      </c>
      <c r="D786" s="93"/>
      <c r="E786" s="94" t="s">
        <v>419</v>
      </c>
      <c r="F786" s="94"/>
      <c r="G786" s="94" t="s">
        <v>69</v>
      </c>
      <c r="H786" s="94" t="s">
        <v>110</v>
      </c>
      <c r="I786" s="94" t="s">
        <v>2896</v>
      </c>
      <c r="J786" s="94" t="s">
        <v>2897</v>
      </c>
      <c r="K786" s="94" t="s">
        <v>2898</v>
      </c>
      <c r="L786" s="98" t="s">
        <v>422</v>
      </c>
      <c r="M786" s="94"/>
      <c r="N786" s="53"/>
      <c r="O786" s="54"/>
    </row>
    <row r="787" spans="1:15" ht="15" x14ac:dyDescent="0.25">
      <c r="A787" s="91" t="s">
        <v>23</v>
      </c>
      <c r="B787" t="s">
        <v>2888</v>
      </c>
      <c r="C787" s="93" t="s">
        <v>2899</v>
      </c>
      <c r="D787" s="93"/>
      <c r="E787" s="94" t="s">
        <v>2900</v>
      </c>
      <c r="F787" s="94" t="s">
        <v>76</v>
      </c>
      <c r="G787" s="94" t="s">
        <v>69</v>
      </c>
      <c r="H787" s="94" t="s">
        <v>70</v>
      </c>
      <c r="I787" s="94" t="s">
        <v>2901</v>
      </c>
      <c r="J787" s="94" t="s">
        <v>2902</v>
      </c>
      <c r="K787" s="94"/>
      <c r="L787" s="52" t="str">
        <f>HYPERLINK("https://zibs.nl/wiki/TekstUitslag-v4.1(2017NL)#TekstStatusCodelijst","TekstStatusCodelijst")</f>
        <v>TekstStatusCodelijst</v>
      </c>
      <c r="M787" s="94"/>
      <c r="N787" s="53"/>
      <c r="O787" s="54"/>
    </row>
    <row r="788" spans="1:15" ht="15" x14ac:dyDescent="0.25">
      <c r="A788" s="91" t="s">
        <v>23</v>
      </c>
      <c r="B788" t="s">
        <v>2888</v>
      </c>
      <c r="C788" s="93" t="s">
        <v>2903</v>
      </c>
      <c r="D788" s="93"/>
      <c r="E788" s="94" t="s">
        <v>2904</v>
      </c>
      <c r="F788" s="94" t="s">
        <v>68</v>
      </c>
      <c r="G788" s="94" t="s">
        <v>77</v>
      </c>
      <c r="H788" s="94" t="s">
        <v>70</v>
      </c>
      <c r="I788" s="94" t="s">
        <v>2905</v>
      </c>
      <c r="J788" s="94" t="s">
        <v>2906</v>
      </c>
      <c r="K788" s="94"/>
      <c r="L788" s="52" t="str">
        <f>HYPERLINK("https://zibs.nl/wiki/TekstUitslag-v4.1(2017NL)#","")</f>
        <v/>
      </c>
      <c r="M788" s="94"/>
      <c r="N788" s="53"/>
      <c r="O788" s="54"/>
    </row>
    <row r="789" spans="1:15" ht="15" x14ac:dyDescent="0.25">
      <c r="A789" s="91" t="s">
        <v>23</v>
      </c>
      <c r="B789" t="s">
        <v>2888</v>
      </c>
      <c r="C789" s="93" t="s">
        <v>2907</v>
      </c>
      <c r="D789" s="93"/>
      <c r="E789" s="94" t="s">
        <v>2908</v>
      </c>
      <c r="F789" s="94" t="s">
        <v>76</v>
      </c>
      <c r="G789" s="94" t="s">
        <v>77</v>
      </c>
      <c r="H789" s="94" t="s">
        <v>70</v>
      </c>
      <c r="I789" s="94" t="s">
        <v>2909</v>
      </c>
      <c r="J789" s="94" t="s">
        <v>2910</v>
      </c>
      <c r="K789" s="94"/>
      <c r="L789" s="52" t="str">
        <f>HYPERLINK("https://zibs.nl/wiki/TekstUitslag-v4.1(2017NL)#TekstUitslagTypeCodelijst","TekstUitslagTypeCodelijst")</f>
        <v>TekstUitslagTypeCodelijst</v>
      </c>
      <c r="M789" s="94"/>
      <c r="N789" s="53"/>
      <c r="O789" s="54"/>
    </row>
    <row r="790" spans="1:15" ht="25.5" x14ac:dyDescent="0.25">
      <c r="A790" s="91" t="s">
        <v>2911</v>
      </c>
      <c r="B790" t="s">
        <v>2912</v>
      </c>
      <c r="C790" s="91" t="s">
        <v>2911</v>
      </c>
      <c r="D790" s="91"/>
      <c r="E790" s="92" t="s">
        <v>2913</v>
      </c>
      <c r="F790" s="92"/>
      <c r="G790" s="92"/>
      <c r="H790" s="92" t="s">
        <v>62</v>
      </c>
      <c r="I790" s="92" t="s">
        <v>2914</v>
      </c>
      <c r="J790" s="92" t="s">
        <v>2915</v>
      </c>
      <c r="K790" s="92"/>
      <c r="L790" s="52" t="str">
        <f>HYPERLINK("https://zibs.nl/wiki/UitkomstVanZorg-v3.1(2017NL)#","")</f>
        <v/>
      </c>
      <c r="M790" s="92"/>
      <c r="N790" s="53"/>
      <c r="O790" s="54"/>
    </row>
    <row r="791" spans="1:15" ht="63.75" x14ac:dyDescent="0.25">
      <c r="A791" s="91" t="s">
        <v>2911</v>
      </c>
      <c r="B791" t="s">
        <v>2912</v>
      </c>
      <c r="C791" s="93" t="s">
        <v>2916</v>
      </c>
      <c r="D791" s="93"/>
      <c r="E791" s="94" t="s">
        <v>2917</v>
      </c>
      <c r="F791" s="94" t="s">
        <v>68</v>
      </c>
      <c r="G791" s="94" t="s">
        <v>109</v>
      </c>
      <c r="H791" s="94" t="s">
        <v>70</v>
      </c>
      <c r="I791" s="94" t="s">
        <v>2918</v>
      </c>
      <c r="J791" s="94" t="s">
        <v>2919</v>
      </c>
      <c r="K791" s="94" t="s">
        <v>1349</v>
      </c>
      <c r="L791" s="52" t="str">
        <f>HYPERLINK("https://zibs.nl/wiki/UitkomstVanZorg-v3.1(2017NL)#","")</f>
        <v/>
      </c>
      <c r="M791" s="94"/>
      <c r="N791" s="53"/>
      <c r="O791" s="54"/>
    </row>
    <row r="792" spans="1:15" ht="38.25" x14ac:dyDescent="0.25">
      <c r="A792" s="91" t="s">
        <v>2911</v>
      </c>
      <c r="B792" t="s">
        <v>2912</v>
      </c>
      <c r="C792" s="93" t="s">
        <v>2920</v>
      </c>
      <c r="D792" s="93"/>
      <c r="E792" s="94" t="s">
        <v>2921</v>
      </c>
      <c r="F792" s="94"/>
      <c r="G792" s="94" t="s">
        <v>109</v>
      </c>
      <c r="H792" s="94" t="s">
        <v>110</v>
      </c>
      <c r="I792" s="94" t="s">
        <v>2922</v>
      </c>
      <c r="J792" s="94" t="s">
        <v>2923</v>
      </c>
      <c r="K792" s="94"/>
      <c r="L792" s="98" t="s">
        <v>1354</v>
      </c>
      <c r="M792" s="94"/>
      <c r="N792" s="53"/>
      <c r="O792" s="54"/>
    </row>
    <row r="793" spans="1:15" ht="38.25" x14ac:dyDescent="0.25">
      <c r="A793" s="91" t="s">
        <v>2911</v>
      </c>
      <c r="B793" t="s">
        <v>2912</v>
      </c>
      <c r="C793" s="93" t="s">
        <v>2924</v>
      </c>
      <c r="D793" s="93"/>
      <c r="E793" s="94" t="s">
        <v>2925</v>
      </c>
      <c r="F793" s="94"/>
      <c r="G793" s="94" t="s">
        <v>109</v>
      </c>
      <c r="H793" s="94" t="s">
        <v>110</v>
      </c>
      <c r="I793" s="94" t="s">
        <v>2926</v>
      </c>
      <c r="J793" s="94" t="s">
        <v>2927</v>
      </c>
      <c r="K793" s="94"/>
      <c r="L793" s="98" t="s">
        <v>1359</v>
      </c>
      <c r="M793" s="94"/>
      <c r="N793" s="53"/>
      <c r="O793" s="54"/>
    </row>
    <row r="794" spans="1:15" ht="38.25" x14ac:dyDescent="0.25">
      <c r="A794" s="91" t="s">
        <v>2911</v>
      </c>
      <c r="B794" t="s">
        <v>2912</v>
      </c>
      <c r="C794" s="93" t="s">
        <v>2928</v>
      </c>
      <c r="D794" s="93"/>
      <c r="E794" s="94" t="s">
        <v>2929</v>
      </c>
      <c r="F794" s="94"/>
      <c r="G794" s="94" t="s">
        <v>69</v>
      </c>
      <c r="H794" s="94" t="s">
        <v>110</v>
      </c>
      <c r="I794" s="94" t="s">
        <v>2930</v>
      </c>
      <c r="J794" s="94" t="s">
        <v>2931</v>
      </c>
      <c r="K794" s="94"/>
      <c r="L794" s="98" t="s">
        <v>849</v>
      </c>
      <c r="M794" s="94"/>
      <c r="N794" s="53"/>
      <c r="O794" s="54"/>
    </row>
    <row r="795" spans="1:15" ht="25.5" x14ac:dyDescent="0.25">
      <c r="A795" s="91" t="s">
        <v>2932</v>
      </c>
      <c r="B795" t="s">
        <v>2933</v>
      </c>
      <c r="C795" s="91" t="s">
        <v>2932</v>
      </c>
      <c r="D795" s="91"/>
      <c r="E795" s="92" t="s">
        <v>2934</v>
      </c>
      <c r="F795" s="92"/>
      <c r="G795" s="92"/>
      <c r="H795" s="92" t="s">
        <v>62</v>
      </c>
      <c r="I795" s="92" t="s">
        <v>2935</v>
      </c>
      <c r="J795" s="92" t="s">
        <v>2936</v>
      </c>
      <c r="K795" s="92"/>
      <c r="L795" s="52" t="str">
        <f>HYPERLINK("https://zibs.nl/wiki/Taalvaardigheid-v3.1(2017NL)#","")</f>
        <v/>
      </c>
      <c r="M795" s="92"/>
      <c r="N795" s="53"/>
      <c r="O795" s="54"/>
    </row>
    <row r="796" spans="1:15" ht="38.25" x14ac:dyDescent="0.25">
      <c r="A796" s="91" t="s">
        <v>2932</v>
      </c>
      <c r="B796" t="s">
        <v>2933</v>
      </c>
      <c r="C796" s="93" t="s">
        <v>2937</v>
      </c>
      <c r="D796" s="93"/>
      <c r="E796" s="94" t="s">
        <v>2938</v>
      </c>
      <c r="F796" s="94" t="s">
        <v>76</v>
      </c>
      <c r="G796" s="94" t="s">
        <v>77</v>
      </c>
      <c r="H796" s="94" t="s">
        <v>70</v>
      </c>
      <c r="I796" s="94" t="s">
        <v>2939</v>
      </c>
      <c r="J796" s="94" t="s">
        <v>2940</v>
      </c>
      <c r="K796" s="94"/>
      <c r="L796" s="52" t="str">
        <f>HYPERLINK("https://zibs.nl/wiki/Taalvaardigheid-v3.1(2017NL)#CommunicatieTaalCodelijst","CommunicatieTaalCodelijst")</f>
        <v>CommunicatieTaalCodelijst</v>
      </c>
      <c r="M796" s="94"/>
      <c r="N796" s="53"/>
      <c r="O796" s="54"/>
    </row>
    <row r="797" spans="1:15" ht="38.25" x14ac:dyDescent="0.25">
      <c r="A797" s="91" t="s">
        <v>2932</v>
      </c>
      <c r="B797" t="s">
        <v>2933</v>
      </c>
      <c r="C797" s="93" t="s">
        <v>2941</v>
      </c>
      <c r="D797" s="93"/>
      <c r="E797" s="94" t="s">
        <v>2942</v>
      </c>
      <c r="F797" s="94" t="s">
        <v>76</v>
      </c>
      <c r="G797" s="94" t="s">
        <v>69</v>
      </c>
      <c r="H797" s="94" t="s">
        <v>70</v>
      </c>
      <c r="I797" s="94" t="s">
        <v>2943</v>
      </c>
      <c r="J797" s="94" t="s">
        <v>2944</v>
      </c>
      <c r="K797" s="94"/>
      <c r="L797" s="52" t="str">
        <f>HYPERLINK("https://zibs.nl/wiki/Taalvaardigheid-v3.1(2017NL)#TaalvaardigheidBegrijpenCodelijst","TaalvaardigheidBegrijpenCodelijst")</f>
        <v>TaalvaardigheidBegrijpenCodelijst</v>
      </c>
      <c r="M797" s="94"/>
      <c r="N797" s="53"/>
      <c r="O797" s="54"/>
    </row>
    <row r="798" spans="1:15" ht="38.25" x14ac:dyDescent="0.25">
      <c r="A798" s="91" t="s">
        <v>2932</v>
      </c>
      <c r="B798" t="s">
        <v>2933</v>
      </c>
      <c r="C798" s="93" t="s">
        <v>2945</v>
      </c>
      <c r="D798" s="93"/>
      <c r="E798" s="94" t="s">
        <v>2946</v>
      </c>
      <c r="F798" s="94" t="s">
        <v>76</v>
      </c>
      <c r="G798" s="94" t="s">
        <v>69</v>
      </c>
      <c r="H798" s="94" t="s">
        <v>70</v>
      </c>
      <c r="I798" s="94" t="s">
        <v>2947</v>
      </c>
      <c r="J798" s="94" t="s">
        <v>2948</v>
      </c>
      <c r="K798" s="94"/>
      <c r="L798" s="52" t="str">
        <f>HYPERLINK("https://zibs.nl/wiki/Taalvaardigheid-v3.1(2017NL)#TaalvaardigheidSprekenCodelijst","TaalvaardigheidSprekenCodelijst")</f>
        <v>TaalvaardigheidSprekenCodelijst</v>
      </c>
      <c r="M798" s="94"/>
      <c r="N798" s="53"/>
      <c r="O798" s="54"/>
    </row>
    <row r="799" spans="1:15" ht="38.25" x14ac:dyDescent="0.25">
      <c r="A799" s="91" t="s">
        <v>2932</v>
      </c>
      <c r="B799" t="s">
        <v>2933</v>
      </c>
      <c r="C799" s="93" t="s">
        <v>2949</v>
      </c>
      <c r="D799" s="93"/>
      <c r="E799" s="94" t="s">
        <v>2950</v>
      </c>
      <c r="F799" s="94" t="s">
        <v>76</v>
      </c>
      <c r="G799" s="94" t="s">
        <v>69</v>
      </c>
      <c r="H799" s="94" t="s">
        <v>70</v>
      </c>
      <c r="I799" s="94" t="s">
        <v>2951</v>
      </c>
      <c r="J799" s="94" t="s">
        <v>2952</v>
      </c>
      <c r="K799" s="94"/>
      <c r="L799" s="52" t="str">
        <f>HYPERLINK("https://zibs.nl/wiki/Taalvaardigheid-v3.1(2017NL)#TaalvaardigheidLezenCodelijst","TaalvaardigheidLezenCodelijst")</f>
        <v>TaalvaardigheidLezenCodelijst</v>
      </c>
      <c r="M799" s="94"/>
      <c r="N799" s="53"/>
      <c r="O799" s="54"/>
    </row>
    <row r="800" spans="1:15" ht="25.5" x14ac:dyDescent="0.25">
      <c r="A800" s="91" t="s">
        <v>2932</v>
      </c>
      <c r="B800" t="s">
        <v>2933</v>
      </c>
      <c r="C800" s="93" t="s">
        <v>66</v>
      </c>
      <c r="D800" s="93"/>
      <c r="E800" s="94" t="s">
        <v>67</v>
      </c>
      <c r="F800" s="94" t="s">
        <v>68</v>
      </c>
      <c r="G800" s="94" t="s">
        <v>69</v>
      </c>
      <c r="H800" s="94" t="s">
        <v>70</v>
      </c>
      <c r="I800" s="94" t="s">
        <v>2953</v>
      </c>
      <c r="J800" s="94" t="s">
        <v>2954</v>
      </c>
      <c r="K800" s="94" t="s">
        <v>73</v>
      </c>
      <c r="L800" s="52" t="str">
        <f>HYPERLINK("https://zibs.nl/wiki/Taalvaardigheid-v3.1(2017NL)#","")</f>
        <v/>
      </c>
      <c r="M800" s="94"/>
      <c r="N800" s="53"/>
      <c r="O800" s="54"/>
    </row>
    <row r="801" spans="1:15" ht="25.5" x14ac:dyDescent="0.25">
      <c r="A801" s="91" t="s">
        <v>2955</v>
      </c>
      <c r="B801" t="s">
        <v>2956</v>
      </c>
      <c r="C801" s="91" t="s">
        <v>2955</v>
      </c>
      <c r="D801" s="91"/>
      <c r="E801" s="92" t="s">
        <v>2957</v>
      </c>
      <c r="F801" s="92"/>
      <c r="G801" s="92"/>
      <c r="H801" s="92" t="s">
        <v>62</v>
      </c>
      <c r="I801" s="92" t="s">
        <v>2958</v>
      </c>
      <c r="J801" s="92" t="s">
        <v>2959</v>
      </c>
      <c r="K801" s="92"/>
      <c r="L801" s="52" t="str">
        <f>HYPERLINK("https://zibs.nl/wiki/SondeSysteem-v3.2(2017NL)#","")</f>
        <v/>
      </c>
      <c r="M801" s="92"/>
      <c r="N801" s="53"/>
      <c r="O801" s="54"/>
    </row>
    <row r="802" spans="1:15" ht="38.25" x14ac:dyDescent="0.25">
      <c r="A802" s="91" t="s">
        <v>2955</v>
      </c>
      <c r="B802" t="s">
        <v>2956</v>
      </c>
      <c r="C802" s="93" t="s">
        <v>2960</v>
      </c>
      <c r="D802" s="93"/>
      <c r="E802" s="94" t="s">
        <v>2961</v>
      </c>
      <c r="F802" s="94"/>
      <c r="G802" s="94" t="s">
        <v>77</v>
      </c>
      <c r="H802" s="94" t="s">
        <v>110</v>
      </c>
      <c r="I802" s="94" t="s">
        <v>2962</v>
      </c>
      <c r="J802" s="94" t="s">
        <v>2963</v>
      </c>
      <c r="K802" s="94" t="s">
        <v>2964</v>
      </c>
      <c r="L802" s="98" t="s">
        <v>488</v>
      </c>
      <c r="M802" s="94"/>
      <c r="N802" s="53"/>
      <c r="O802" s="54"/>
    </row>
    <row r="803" spans="1:15" ht="15" x14ac:dyDescent="0.25">
      <c r="A803" s="91" t="s">
        <v>2955</v>
      </c>
      <c r="B803" t="s">
        <v>2956</v>
      </c>
      <c r="C803" s="93" t="s">
        <v>789</v>
      </c>
      <c r="D803" s="93"/>
      <c r="E803" s="94" t="s">
        <v>790</v>
      </c>
      <c r="F803" s="94" t="s">
        <v>76</v>
      </c>
      <c r="G803" s="94"/>
      <c r="H803" s="94" t="s">
        <v>70</v>
      </c>
      <c r="I803" s="94" t="s">
        <v>791</v>
      </c>
      <c r="J803" s="94" t="s">
        <v>2965</v>
      </c>
      <c r="K803" s="94"/>
      <c r="L803" s="52" t="str">
        <f>HYPERLINK("https://zibs.nl/wiki/SondeSysteem-v3.2(2017NL)#SondeTypeCodelijst","SondeTypeCodelijst")</f>
        <v>SondeTypeCodelijst</v>
      </c>
      <c r="M803" s="94"/>
      <c r="N803" s="53"/>
      <c r="O803" s="54"/>
    </row>
    <row r="804" spans="1:15" ht="25.5" x14ac:dyDescent="0.25">
      <c r="A804" s="91" t="s">
        <v>2955</v>
      </c>
      <c r="B804" t="s">
        <v>2956</v>
      </c>
      <c r="C804" s="93" t="s">
        <v>2966</v>
      </c>
      <c r="D804" s="93"/>
      <c r="E804" s="94" t="s">
        <v>2967</v>
      </c>
      <c r="F804" s="94" t="s">
        <v>97</v>
      </c>
      <c r="G804" s="94" t="s">
        <v>69</v>
      </c>
      <c r="H804" s="94" t="s">
        <v>70</v>
      </c>
      <c r="I804" s="94" t="s">
        <v>2968</v>
      </c>
      <c r="J804" s="94" t="s">
        <v>2969</v>
      </c>
      <c r="K804" s="94"/>
      <c r="L804" s="52" t="str">
        <f>HYPERLINK("https://zibs.nl/wiki/SondeSysteem-v3.2(2017NL)#","")</f>
        <v/>
      </c>
      <c r="M804" s="94"/>
      <c r="N804" s="53"/>
      <c r="O804" s="54"/>
    </row>
    <row r="805" spans="1:15" ht="51" x14ac:dyDescent="0.25">
      <c r="A805" s="91" t="s">
        <v>2955</v>
      </c>
      <c r="B805" t="s">
        <v>2956</v>
      </c>
      <c r="C805" s="93" t="s">
        <v>2970</v>
      </c>
      <c r="D805" s="93"/>
      <c r="E805" s="94" t="s">
        <v>2971</v>
      </c>
      <c r="F805" s="94"/>
      <c r="G805" s="94" t="s">
        <v>158</v>
      </c>
      <c r="H805" s="94" t="s">
        <v>110</v>
      </c>
      <c r="I805" s="94" t="s">
        <v>2972</v>
      </c>
      <c r="J805" s="94" t="s">
        <v>2973</v>
      </c>
      <c r="K805" s="94" t="s">
        <v>2974</v>
      </c>
      <c r="L805" s="98" t="s">
        <v>842</v>
      </c>
      <c r="M805" s="94"/>
      <c r="N805" s="53"/>
      <c r="O805" s="54"/>
    </row>
    <row r="806" spans="1:15" ht="25.5" x14ac:dyDescent="0.25">
      <c r="A806" s="91" t="s">
        <v>2955</v>
      </c>
      <c r="B806" t="s">
        <v>2956</v>
      </c>
      <c r="C806" s="93" t="s">
        <v>773</v>
      </c>
      <c r="D806" s="93"/>
      <c r="E806" s="94" t="s">
        <v>775</v>
      </c>
      <c r="F806" s="94"/>
      <c r="G806" s="94" t="s">
        <v>69</v>
      </c>
      <c r="H806" s="94" t="s">
        <v>110</v>
      </c>
      <c r="I806" s="94" t="s">
        <v>2975</v>
      </c>
      <c r="J806" s="94" t="s">
        <v>2976</v>
      </c>
      <c r="K806" s="94"/>
      <c r="L806" s="98" t="s">
        <v>488</v>
      </c>
      <c r="M806" s="94"/>
      <c r="N806" s="53"/>
      <c r="O806" s="54"/>
    </row>
    <row r="807" spans="1:15" ht="25.5" x14ac:dyDescent="0.25">
      <c r="A807" s="91" t="s">
        <v>2955</v>
      </c>
      <c r="B807" t="s">
        <v>2956</v>
      </c>
      <c r="C807" s="93" t="s">
        <v>66</v>
      </c>
      <c r="D807" s="93"/>
      <c r="E807" s="94" t="s">
        <v>67</v>
      </c>
      <c r="F807" s="94" t="s">
        <v>68</v>
      </c>
      <c r="G807" s="94" t="s">
        <v>69</v>
      </c>
      <c r="H807" s="94" t="s">
        <v>70</v>
      </c>
      <c r="I807" s="94" t="s">
        <v>2977</v>
      </c>
      <c r="J807" s="94" t="s">
        <v>2978</v>
      </c>
      <c r="K807" s="94" t="s">
        <v>73</v>
      </c>
      <c r="L807" s="52" t="str">
        <f>HYPERLINK("https://zibs.nl/wiki/SondeSysteem-v3.2(2017NL)#","")</f>
        <v/>
      </c>
      <c r="M807" s="94"/>
      <c r="N807" s="53"/>
      <c r="O807" s="54"/>
    </row>
    <row r="808" spans="1:15" ht="25.5" x14ac:dyDescent="0.25">
      <c r="A808" s="91" t="s">
        <v>2979</v>
      </c>
      <c r="B808" t="s">
        <v>2980</v>
      </c>
      <c r="C808" s="91" t="s">
        <v>2979</v>
      </c>
      <c r="D808" s="91"/>
      <c r="E808" s="92" t="s">
        <v>2981</v>
      </c>
      <c r="F808" s="92"/>
      <c r="G808" s="92"/>
      <c r="H808" s="92" t="s">
        <v>62</v>
      </c>
      <c r="I808" s="92" t="s">
        <v>2982</v>
      </c>
      <c r="J808" s="92" t="s">
        <v>2983</v>
      </c>
      <c r="K808" s="92"/>
      <c r="L808" s="52" t="str">
        <f>HYPERLINK("https://zibs.nl/wiki/StrongKidsScore-v1.0(2017NL)#","")</f>
        <v/>
      </c>
      <c r="M808" s="92"/>
      <c r="N808" s="53"/>
      <c r="O808" s="54"/>
    </row>
    <row r="809" spans="1:15" ht="25.5" x14ac:dyDescent="0.25">
      <c r="A809" s="91" t="s">
        <v>2979</v>
      </c>
      <c r="B809" t="s">
        <v>2980</v>
      </c>
      <c r="C809" s="93" t="s">
        <v>1335</v>
      </c>
      <c r="D809" s="93"/>
      <c r="E809" s="94" t="s">
        <v>1336</v>
      </c>
      <c r="F809" s="94" t="s">
        <v>505</v>
      </c>
      <c r="G809" s="94" t="s">
        <v>69</v>
      </c>
      <c r="H809" s="94" t="s">
        <v>70</v>
      </c>
      <c r="I809" s="94" t="s">
        <v>2984</v>
      </c>
      <c r="J809" s="94" t="s">
        <v>2985</v>
      </c>
      <c r="K809" s="94"/>
      <c r="L809" s="52" t="str">
        <f>HYPERLINK("https://zibs.nl/wiki/StrongKidsScore-v1.0(2017NL)#","")</f>
        <v/>
      </c>
      <c r="M809" s="94" t="s">
        <v>2986</v>
      </c>
      <c r="N809" s="53"/>
      <c r="O809" s="54"/>
    </row>
    <row r="810" spans="1:15" ht="15" x14ac:dyDescent="0.25">
      <c r="A810" s="91" t="s">
        <v>2979</v>
      </c>
      <c r="B810" t="s">
        <v>2980</v>
      </c>
      <c r="C810" s="93" t="s">
        <v>1441</v>
      </c>
      <c r="D810" s="93"/>
      <c r="E810" s="94" t="s">
        <v>1442</v>
      </c>
      <c r="F810" s="94" t="s">
        <v>88</v>
      </c>
      <c r="G810" s="94" t="s">
        <v>77</v>
      </c>
      <c r="H810" s="94" t="s">
        <v>70</v>
      </c>
      <c r="I810" s="94" t="s">
        <v>2987</v>
      </c>
      <c r="J810" s="94" t="s">
        <v>2988</v>
      </c>
      <c r="K810" s="94"/>
      <c r="L810" s="52" t="str">
        <f>HYPERLINK("https://zibs.nl/wiki/StrongKidsScore-v1.0(2017NL)#","")</f>
        <v/>
      </c>
      <c r="M810" s="94"/>
      <c r="N810" s="53"/>
      <c r="O810" s="54"/>
    </row>
    <row r="811" spans="1:15" ht="25.5" x14ac:dyDescent="0.25">
      <c r="A811" s="91" t="s">
        <v>2979</v>
      </c>
      <c r="B811" t="s">
        <v>2980</v>
      </c>
      <c r="C811" s="93" t="s">
        <v>66</v>
      </c>
      <c r="D811" s="93"/>
      <c r="E811" s="94" t="s">
        <v>67</v>
      </c>
      <c r="F811" s="94" t="s">
        <v>68</v>
      </c>
      <c r="G811" s="94" t="s">
        <v>69</v>
      </c>
      <c r="H811" s="94" t="s">
        <v>70</v>
      </c>
      <c r="I811" s="94" t="s">
        <v>2989</v>
      </c>
      <c r="J811" s="94" t="s">
        <v>1446</v>
      </c>
      <c r="K811" s="94" t="s">
        <v>73</v>
      </c>
      <c r="L811" s="52" t="str">
        <f>HYPERLINK("https://zibs.nl/wiki/StrongKidsScore-v1.0(2017NL)#","")</f>
        <v/>
      </c>
      <c r="M811" s="94"/>
      <c r="N811" s="53"/>
      <c r="O811" s="54"/>
    </row>
    <row r="812" spans="1:15" ht="25.5" x14ac:dyDescent="0.25">
      <c r="A812" s="91" t="s">
        <v>2979</v>
      </c>
      <c r="B812" t="s">
        <v>2980</v>
      </c>
      <c r="C812" s="93" t="s">
        <v>2107</v>
      </c>
      <c r="D812" s="93"/>
      <c r="E812" s="94" t="s">
        <v>2108</v>
      </c>
      <c r="F812" s="94" t="s">
        <v>474</v>
      </c>
      <c r="G812" s="94" t="s">
        <v>69</v>
      </c>
      <c r="H812" s="94" t="s">
        <v>70</v>
      </c>
      <c r="I812" s="94" t="s">
        <v>2990</v>
      </c>
      <c r="J812" s="94" t="s">
        <v>2991</v>
      </c>
      <c r="K812" s="94"/>
      <c r="L812" s="52" t="str">
        <f>HYPERLINK("https://zibs.nl/wiki/StrongKidsScore-v1.0(2017NL)#SKGewichtsverliesScoreCodelijst","SKGewichtsverliesScoreCodelijst")</f>
        <v>SKGewichtsverliesScoreCodelijst</v>
      </c>
      <c r="M812" s="94"/>
      <c r="N812" s="53"/>
      <c r="O812" s="54"/>
    </row>
    <row r="813" spans="1:15" ht="25.5" x14ac:dyDescent="0.25">
      <c r="A813" s="91" t="s">
        <v>2979</v>
      </c>
      <c r="B813" t="s">
        <v>2980</v>
      </c>
      <c r="C813" s="93" t="s">
        <v>2992</v>
      </c>
      <c r="D813" s="93"/>
      <c r="E813" s="94" t="s">
        <v>2993</v>
      </c>
      <c r="F813" s="94" t="s">
        <v>474</v>
      </c>
      <c r="G813" s="94" t="s">
        <v>69</v>
      </c>
      <c r="H813" s="94" t="s">
        <v>70</v>
      </c>
      <c r="I813" s="94" t="s">
        <v>2994</v>
      </c>
      <c r="J813" s="94" t="s">
        <v>2995</v>
      </c>
      <c r="K813" s="94"/>
      <c r="L813" s="52" t="str">
        <f>HYPERLINK("https://zibs.nl/wiki/StrongKidsScore-v1.0(2017NL)#SKZiektebeeldScoreCodelijst","SKZiektebeeldScoreCodelijst")</f>
        <v>SKZiektebeeldScoreCodelijst</v>
      </c>
      <c r="M813" s="94"/>
      <c r="N813" s="53"/>
      <c r="O813" s="54"/>
    </row>
    <row r="814" spans="1:15" ht="63.75" x14ac:dyDescent="0.25">
      <c r="A814" s="91" t="s">
        <v>2979</v>
      </c>
      <c r="B814" t="s">
        <v>2980</v>
      </c>
      <c r="C814" s="93" t="s">
        <v>2996</v>
      </c>
      <c r="D814" s="93"/>
      <c r="E814" s="94" t="s">
        <v>2997</v>
      </c>
      <c r="F814" s="94" t="s">
        <v>474</v>
      </c>
      <c r="G814" s="94" t="s">
        <v>69</v>
      </c>
      <c r="H814" s="94" t="s">
        <v>70</v>
      </c>
      <c r="I814" s="94" t="s">
        <v>2998</v>
      </c>
      <c r="J814" s="94" t="s">
        <v>2999</v>
      </c>
      <c r="K814" s="94"/>
      <c r="L814" s="52" t="str">
        <f>HYPERLINK("https://zibs.nl/wiki/StrongKidsScore-v1.0(2017NL)#SKVoedingsScoreCodelijst","SKVoedingsScoreCodelijst")</f>
        <v>SKVoedingsScoreCodelijst</v>
      </c>
      <c r="M814" s="94"/>
      <c r="N814" s="53"/>
      <c r="O814" s="54"/>
    </row>
    <row r="815" spans="1:15" ht="25.5" x14ac:dyDescent="0.25">
      <c r="A815" s="91" t="s">
        <v>2979</v>
      </c>
      <c r="B815" t="s">
        <v>2980</v>
      </c>
      <c r="C815" s="93" t="s">
        <v>3000</v>
      </c>
      <c r="D815" s="93"/>
      <c r="E815" s="94" t="s">
        <v>3001</v>
      </c>
      <c r="F815" s="94" t="s">
        <v>474</v>
      </c>
      <c r="G815" s="94" t="s">
        <v>69</v>
      </c>
      <c r="H815" s="94" t="s">
        <v>70</v>
      </c>
      <c r="I815" s="94" t="s">
        <v>3002</v>
      </c>
      <c r="J815" s="94" t="s">
        <v>3003</v>
      </c>
      <c r="K815" s="94"/>
      <c r="L815" s="52" t="str">
        <f>HYPERLINK("https://zibs.nl/wiki/StrongKidsScore-v1.0(2017NL)#SKVoedingstoestandCodelijst","SKVoedingstoestandCodelijst")</f>
        <v>SKVoedingstoestandCodelijst</v>
      </c>
      <c r="M815" s="94"/>
      <c r="N815" s="53"/>
      <c r="O815" s="54"/>
    </row>
    <row r="816" spans="1:15" ht="15" x14ac:dyDescent="0.25">
      <c r="A816" s="91" t="s">
        <v>1458</v>
      </c>
      <c r="B816" t="s">
        <v>3004</v>
      </c>
      <c r="C816" s="91" t="s">
        <v>1458</v>
      </c>
      <c r="D816" s="91"/>
      <c r="E816" s="92" t="s">
        <v>1459</v>
      </c>
      <c r="F816" s="92"/>
      <c r="G816" s="92"/>
      <c r="H816" s="92" t="s">
        <v>62</v>
      </c>
      <c r="I816" s="92" t="s">
        <v>3005</v>
      </c>
      <c r="J816" s="92" t="s">
        <v>3006</v>
      </c>
      <c r="K816" s="92"/>
      <c r="L816" s="52" t="str">
        <f>HYPERLINK("https://zibs.nl/wiki/Stoma-v3.2(2017NL)#","")</f>
        <v/>
      </c>
      <c r="M816" s="92"/>
      <c r="N816" s="53"/>
      <c r="O816" s="54"/>
    </row>
    <row r="817" spans="1:15" ht="25.5" x14ac:dyDescent="0.25">
      <c r="A817" s="91" t="s">
        <v>1458</v>
      </c>
      <c r="B817" t="s">
        <v>3004</v>
      </c>
      <c r="C817" s="93" t="s">
        <v>3007</v>
      </c>
      <c r="D817" s="93"/>
      <c r="E817" s="94" t="s">
        <v>3008</v>
      </c>
      <c r="F817" s="94" t="s">
        <v>76</v>
      </c>
      <c r="G817" s="94" t="s">
        <v>77</v>
      </c>
      <c r="H817" s="94" t="s">
        <v>70</v>
      </c>
      <c r="I817" s="94" t="s">
        <v>3009</v>
      </c>
      <c r="J817" s="94" t="s">
        <v>3010</v>
      </c>
      <c r="K817" s="94" t="s">
        <v>3011</v>
      </c>
      <c r="L817" s="52" t="str">
        <f>HYPERLINK("https://zibs.nl/wiki/Stoma-v3.2(2017NL)#StomaTypeCodelijst","StomaTypeCodelijst")</f>
        <v>StomaTypeCodelijst</v>
      </c>
      <c r="M817" s="94"/>
      <c r="N817" s="53"/>
      <c r="O817" s="54"/>
    </row>
    <row r="818" spans="1:15" ht="76.5" x14ac:dyDescent="0.25">
      <c r="A818" s="91" t="s">
        <v>1458</v>
      </c>
      <c r="B818" t="s">
        <v>3004</v>
      </c>
      <c r="C818" s="93" t="s">
        <v>3012</v>
      </c>
      <c r="D818" s="93"/>
      <c r="E818" s="94" t="s">
        <v>3013</v>
      </c>
      <c r="F818" s="94"/>
      <c r="G818" s="94" t="s">
        <v>158</v>
      </c>
      <c r="H818" s="94" t="s">
        <v>110</v>
      </c>
      <c r="I818" s="94" t="s">
        <v>3014</v>
      </c>
      <c r="J818" s="94" t="s">
        <v>3015</v>
      </c>
      <c r="K818" s="94" t="s">
        <v>3016</v>
      </c>
      <c r="L818" s="98" t="s">
        <v>488</v>
      </c>
      <c r="M818" s="94"/>
      <c r="N818" s="53"/>
      <c r="O818" s="54"/>
    </row>
    <row r="819" spans="1:15" ht="25.5" x14ac:dyDescent="0.25">
      <c r="A819" s="91" t="s">
        <v>1458</v>
      </c>
      <c r="B819" t="s">
        <v>3004</v>
      </c>
      <c r="C819" s="93" t="s">
        <v>543</v>
      </c>
      <c r="D819" s="93"/>
      <c r="E819" s="94" t="s">
        <v>544</v>
      </c>
      <c r="F819" s="94" t="s">
        <v>76</v>
      </c>
      <c r="G819" s="94" t="s">
        <v>69</v>
      </c>
      <c r="H819" s="94" t="s">
        <v>70</v>
      </c>
      <c r="I819" s="94" t="s">
        <v>3017</v>
      </c>
      <c r="J819" s="94" t="s">
        <v>3018</v>
      </c>
      <c r="K819" s="94" t="s">
        <v>1382</v>
      </c>
      <c r="L819" s="52" t="str">
        <f>HYPERLINK("https://zibs.nl/wiki/Stoma-v3.2(2017NL)#StomaAnatomischeLocatieCodelijst","StomaAnatomischeLocatieCodelijst")</f>
        <v>StomaAnatomischeLocatieCodelijst</v>
      </c>
      <c r="M819" s="94"/>
      <c r="N819" s="53"/>
      <c r="O819" s="54"/>
    </row>
    <row r="820" spans="1:15" ht="25.5" x14ac:dyDescent="0.25">
      <c r="A820" s="91" t="s">
        <v>1458</v>
      </c>
      <c r="B820" t="s">
        <v>3004</v>
      </c>
      <c r="C820" s="93" t="s">
        <v>548</v>
      </c>
      <c r="D820" s="93"/>
      <c r="E820" s="94" t="s">
        <v>549</v>
      </c>
      <c r="F820" s="94" t="s">
        <v>76</v>
      </c>
      <c r="G820" s="94" t="s">
        <v>69</v>
      </c>
      <c r="H820" s="94" t="s">
        <v>70</v>
      </c>
      <c r="I820" s="94" t="s">
        <v>3019</v>
      </c>
      <c r="J820" s="94" t="s">
        <v>551</v>
      </c>
      <c r="K820" s="94" t="s">
        <v>552</v>
      </c>
      <c r="L820" s="52" t="str">
        <f>HYPERLINK("https://zibs.nl/wiki/Stoma-v3.2(2017NL)#StomaLateraliteitCodelijst","StomaLateraliteitCodelijst")</f>
        <v>StomaLateraliteitCodelijst</v>
      </c>
      <c r="M820" s="94"/>
      <c r="N820" s="53"/>
      <c r="O820" s="54"/>
    </row>
    <row r="821" spans="1:15" ht="15" x14ac:dyDescent="0.25">
      <c r="A821" s="91" t="s">
        <v>1458</v>
      </c>
      <c r="B821" t="s">
        <v>3004</v>
      </c>
      <c r="C821" s="93" t="s">
        <v>3020</v>
      </c>
      <c r="D821" s="93"/>
      <c r="E821" s="94" t="s">
        <v>3021</v>
      </c>
      <c r="F821" s="94" t="s">
        <v>88</v>
      </c>
      <c r="G821" s="94" t="s">
        <v>69</v>
      </c>
      <c r="H821" s="94" t="s">
        <v>70</v>
      </c>
      <c r="I821" s="94" t="s">
        <v>3022</v>
      </c>
      <c r="J821" s="94" t="s">
        <v>3023</v>
      </c>
      <c r="K821" s="94"/>
      <c r="L821" s="52" t="str">
        <f>HYPERLINK("https://zibs.nl/wiki/Stoma-v3.2(2017NL)#","")</f>
        <v/>
      </c>
      <c r="M821" s="94"/>
      <c r="N821" s="53"/>
      <c r="O821" s="54"/>
    </row>
    <row r="822" spans="1:15" ht="25.5" x14ac:dyDescent="0.25">
      <c r="A822" s="91" t="s">
        <v>1458</v>
      </c>
      <c r="B822" t="s">
        <v>3004</v>
      </c>
      <c r="C822" s="93" t="s">
        <v>66</v>
      </c>
      <c r="D822" s="93"/>
      <c r="E822" s="94" t="s">
        <v>67</v>
      </c>
      <c r="F822" s="94" t="s">
        <v>68</v>
      </c>
      <c r="G822" s="94" t="s">
        <v>69</v>
      </c>
      <c r="H822" s="94" t="s">
        <v>70</v>
      </c>
      <c r="I822" s="94" t="s">
        <v>3024</v>
      </c>
      <c r="J822" s="94" t="s">
        <v>3025</v>
      </c>
      <c r="K822" s="94" t="s">
        <v>73</v>
      </c>
      <c r="L822" s="52" t="str">
        <f>HYPERLINK("https://zibs.nl/wiki/Stoma-v3.2(2017NL)#","")</f>
        <v/>
      </c>
      <c r="M822" s="94"/>
      <c r="N822" s="53"/>
      <c r="O822" s="54"/>
    </row>
    <row r="823" spans="1:15" ht="25.5" x14ac:dyDescent="0.25">
      <c r="A823" s="91" t="s">
        <v>3026</v>
      </c>
      <c r="B823" t="s">
        <v>3027</v>
      </c>
      <c r="C823" s="91" t="s">
        <v>3026</v>
      </c>
      <c r="D823" s="91"/>
      <c r="E823" s="92" t="s">
        <v>3028</v>
      </c>
      <c r="F823" s="92"/>
      <c r="G823" s="92"/>
      <c r="H823" s="92" t="s">
        <v>62</v>
      </c>
      <c r="I823" s="92" t="s">
        <v>3029</v>
      </c>
      <c r="J823" s="92" t="s">
        <v>3030</v>
      </c>
      <c r="K823" s="92"/>
      <c r="L823" s="52" t="str">
        <f>HYPERLINK("https://zibs.nl/wiki/SNAQ65+Score-v1.0(2017NL)#","")</f>
        <v/>
      </c>
      <c r="M823" s="92"/>
      <c r="N823" s="53"/>
      <c r="O823" s="54"/>
    </row>
    <row r="824" spans="1:15" ht="15" x14ac:dyDescent="0.25">
      <c r="A824" s="91" t="s">
        <v>3026</v>
      </c>
      <c r="B824" t="s">
        <v>3027</v>
      </c>
      <c r="C824" s="93" t="s">
        <v>2107</v>
      </c>
      <c r="D824" s="93"/>
      <c r="E824" s="94" t="s">
        <v>2108</v>
      </c>
      <c r="F824" s="94" t="s">
        <v>474</v>
      </c>
      <c r="G824" s="94" t="s">
        <v>69</v>
      </c>
      <c r="H824" s="94" t="s">
        <v>70</v>
      </c>
      <c r="I824" s="94" t="s">
        <v>3031</v>
      </c>
      <c r="J824" s="94" t="s">
        <v>3032</v>
      </c>
      <c r="K824" s="94"/>
      <c r="L824" s="52" t="str">
        <f>HYPERLINK("https://zibs.nl/wiki/SNAQ65+Score-v1.0(2017NL)#SNAQ65+GewichtsverliesScoreCodelijst","SNAQ65+GewichtsverliesScoreCodelijst")</f>
        <v>SNAQ65+GewichtsverliesScoreCodelijst</v>
      </c>
      <c r="M824" s="94"/>
      <c r="N824" s="53"/>
      <c r="O824" s="54"/>
    </row>
    <row r="825" spans="1:15" ht="38.25" x14ac:dyDescent="0.25">
      <c r="A825" s="91" t="s">
        <v>3026</v>
      </c>
      <c r="B825" t="s">
        <v>3027</v>
      </c>
      <c r="C825" s="93" t="s">
        <v>3033</v>
      </c>
      <c r="D825" s="93"/>
      <c r="E825" s="94" t="s">
        <v>3034</v>
      </c>
      <c r="F825" s="94" t="s">
        <v>474</v>
      </c>
      <c r="G825" s="94" t="s">
        <v>69</v>
      </c>
      <c r="H825" s="94" t="s">
        <v>70</v>
      </c>
      <c r="I825" s="94" t="s">
        <v>3035</v>
      </c>
      <c r="J825" s="94" t="s">
        <v>3036</v>
      </c>
      <c r="K825" s="94"/>
      <c r="L825" s="52" t="str">
        <f>HYPERLINK("https://zibs.nl/wiki/SNAQ65+Score-v1.0(2017NL)#SNAQ65+BovenarmOmtrekScoreCodelijst","SNAQ65+BovenarmOmtrekScoreCodelijst")</f>
        <v>SNAQ65+BovenarmOmtrekScoreCodelijst</v>
      </c>
      <c r="M825" s="94"/>
      <c r="N825" s="53"/>
      <c r="O825" s="54"/>
    </row>
    <row r="826" spans="1:15" ht="15" x14ac:dyDescent="0.25">
      <c r="A826" s="91" t="s">
        <v>3026</v>
      </c>
      <c r="B826" t="s">
        <v>3027</v>
      </c>
      <c r="C826" s="93" t="s">
        <v>3037</v>
      </c>
      <c r="D826" s="93"/>
      <c r="E826" s="94" t="s">
        <v>3038</v>
      </c>
      <c r="F826" s="94" t="s">
        <v>474</v>
      </c>
      <c r="G826" s="94" t="s">
        <v>69</v>
      </c>
      <c r="H826" s="94" t="s">
        <v>70</v>
      </c>
      <c r="I826" s="94" t="s">
        <v>3039</v>
      </c>
      <c r="J826" s="94" t="s">
        <v>3040</v>
      </c>
      <c r="K826" s="94"/>
      <c r="L826" s="52" t="str">
        <f>HYPERLINK("https://zibs.nl/wiki/SNAQ65+Score-v1.0(2017NL)#SNAQ65+EetlustScoreCodelijst","SNAQ65+EetlustScoreCodelijst")</f>
        <v>SNAQ65+EetlustScoreCodelijst</v>
      </c>
      <c r="M826" s="94"/>
      <c r="N826" s="53"/>
      <c r="O826" s="54"/>
    </row>
    <row r="827" spans="1:15" ht="25.5" x14ac:dyDescent="0.25">
      <c r="A827" s="91" t="s">
        <v>3026</v>
      </c>
      <c r="B827" t="s">
        <v>3027</v>
      </c>
      <c r="C827" s="93" t="s">
        <v>3041</v>
      </c>
      <c r="D827" s="93"/>
      <c r="E827" s="94" t="s">
        <v>3042</v>
      </c>
      <c r="F827" s="94" t="s">
        <v>474</v>
      </c>
      <c r="G827" s="94" t="s">
        <v>69</v>
      </c>
      <c r="H827" s="94" t="s">
        <v>70</v>
      </c>
      <c r="I827" s="94" t="s">
        <v>3043</v>
      </c>
      <c r="J827" s="94" t="s">
        <v>3044</v>
      </c>
      <c r="K827" s="94"/>
      <c r="L827" s="52" t="str">
        <f>HYPERLINK("https://zibs.nl/wiki/SNAQ65+Score-v1.0(2017NL)#SNAQ65+InspanningsScoreCodelijst","SNAQ65+InspanningsScoreCodelijst")</f>
        <v>SNAQ65+InspanningsScoreCodelijst</v>
      </c>
      <c r="M827" s="94"/>
      <c r="N827" s="53"/>
      <c r="O827" s="54"/>
    </row>
    <row r="828" spans="1:15" ht="63.75" x14ac:dyDescent="0.25">
      <c r="A828" s="91" t="s">
        <v>3026</v>
      </c>
      <c r="B828" t="s">
        <v>3027</v>
      </c>
      <c r="C828" s="93" t="s">
        <v>1335</v>
      </c>
      <c r="D828" s="93"/>
      <c r="E828" s="94" t="s">
        <v>1336</v>
      </c>
      <c r="F828" s="94" t="s">
        <v>505</v>
      </c>
      <c r="G828" s="94" t="s">
        <v>69</v>
      </c>
      <c r="H828" s="94" t="s">
        <v>70</v>
      </c>
      <c r="I828" s="94" t="s">
        <v>3045</v>
      </c>
      <c r="J828" s="94" t="s">
        <v>3046</v>
      </c>
      <c r="K828" s="94"/>
      <c r="L828" s="52" t="str">
        <f>HYPERLINK("https://zibs.nl/wiki/SNAQ65+Score-v1.0(2017NL)#","")</f>
        <v/>
      </c>
      <c r="M828" s="94" t="s">
        <v>2986</v>
      </c>
      <c r="N828" s="53"/>
      <c r="O828" s="54"/>
    </row>
    <row r="829" spans="1:15" ht="25.5" x14ac:dyDescent="0.25">
      <c r="A829" s="91" t="s">
        <v>3026</v>
      </c>
      <c r="B829" t="s">
        <v>3027</v>
      </c>
      <c r="C829" s="93" t="s">
        <v>3047</v>
      </c>
      <c r="D829" s="93"/>
      <c r="E829" s="94" t="s">
        <v>3048</v>
      </c>
      <c r="F829" s="94" t="s">
        <v>88</v>
      </c>
      <c r="G829" s="94" t="s">
        <v>77</v>
      </c>
      <c r="H829" s="94" t="s">
        <v>70</v>
      </c>
      <c r="I829" s="94" t="s">
        <v>3049</v>
      </c>
      <c r="J829" s="94" t="s">
        <v>3050</v>
      </c>
      <c r="K829" s="94"/>
      <c r="L829" s="52" t="str">
        <f>HYPERLINK("https://zibs.nl/wiki/SNAQ65+Score-v1.0(2017NL)#","")</f>
        <v/>
      </c>
      <c r="M829" s="94"/>
      <c r="N829" s="53"/>
      <c r="O829" s="54"/>
    </row>
    <row r="830" spans="1:15" ht="25.5" x14ac:dyDescent="0.25">
      <c r="A830" s="91" t="s">
        <v>3026</v>
      </c>
      <c r="B830" t="s">
        <v>3027</v>
      </c>
      <c r="C830" s="93" t="s">
        <v>66</v>
      </c>
      <c r="D830" s="93"/>
      <c r="E830" s="94" t="s">
        <v>67</v>
      </c>
      <c r="F830" s="94" t="s">
        <v>68</v>
      </c>
      <c r="G830" s="94" t="s">
        <v>69</v>
      </c>
      <c r="H830" s="94" t="s">
        <v>70</v>
      </c>
      <c r="I830" s="94" t="s">
        <v>3051</v>
      </c>
      <c r="J830" s="94" t="s">
        <v>1446</v>
      </c>
      <c r="K830" s="94" t="s">
        <v>73</v>
      </c>
      <c r="L830" s="52" t="str">
        <f>HYPERLINK("https://zibs.nl/wiki/SNAQ65+Score-v1.0(2017NL)#","")</f>
        <v/>
      </c>
      <c r="M830" s="94"/>
      <c r="N830" s="53"/>
      <c r="O830" s="54"/>
    </row>
    <row r="831" spans="1:15" ht="25.5" x14ac:dyDescent="0.25">
      <c r="A831" s="91" t="s">
        <v>3052</v>
      </c>
      <c r="B831" t="s">
        <v>3053</v>
      </c>
      <c r="C831" s="91" t="s">
        <v>3052</v>
      </c>
      <c r="D831" s="91"/>
      <c r="E831" s="92" t="s">
        <v>3054</v>
      </c>
      <c r="F831" s="92"/>
      <c r="G831" s="92"/>
      <c r="H831" s="92" t="s">
        <v>62</v>
      </c>
      <c r="I831" s="92" t="s">
        <v>3055</v>
      </c>
      <c r="J831" s="92" t="s">
        <v>3056</v>
      </c>
      <c r="K831" s="92"/>
      <c r="L831" s="52" t="str">
        <f>HYPERLINK("https://zibs.nl/wiki/Polsfrequentie-v3.1(2017NL)#","")</f>
        <v/>
      </c>
      <c r="M831" s="92"/>
      <c r="N831" s="53"/>
      <c r="O831" s="54"/>
    </row>
    <row r="832" spans="1:15" ht="38.25" x14ac:dyDescent="0.25">
      <c r="A832" s="91" t="s">
        <v>3052</v>
      </c>
      <c r="B832" t="s">
        <v>3053</v>
      </c>
      <c r="C832" s="93" t="s">
        <v>3057</v>
      </c>
      <c r="D832" s="93"/>
      <c r="E832" s="94" t="s">
        <v>3058</v>
      </c>
      <c r="F832" s="94" t="s">
        <v>97</v>
      </c>
      <c r="G832" s="94" t="s">
        <v>69</v>
      </c>
      <c r="H832" s="94" t="s">
        <v>70</v>
      </c>
      <c r="I832" s="94" t="s">
        <v>3059</v>
      </c>
      <c r="J832" s="94" t="s">
        <v>3060</v>
      </c>
      <c r="K832" s="94" t="s">
        <v>3061</v>
      </c>
      <c r="L832" s="52" t="str">
        <f>HYPERLINK("https://zibs.nl/wiki/Polsfrequentie-v3.1(2017NL)#","")</f>
        <v/>
      </c>
      <c r="M832" s="94"/>
      <c r="N832" s="53"/>
      <c r="O832" s="54"/>
    </row>
    <row r="833" spans="1:15" ht="15" x14ac:dyDescent="0.25">
      <c r="A833" s="91" t="s">
        <v>3052</v>
      </c>
      <c r="B833" t="s">
        <v>3053</v>
      </c>
      <c r="C833" s="93" t="s">
        <v>3062</v>
      </c>
      <c r="D833" s="93"/>
      <c r="E833" s="94" t="s">
        <v>3063</v>
      </c>
      <c r="F833" s="94" t="s">
        <v>88</v>
      </c>
      <c r="G833" s="94" t="s">
        <v>77</v>
      </c>
      <c r="H833" s="94" t="s">
        <v>70</v>
      </c>
      <c r="I833" s="94" t="s">
        <v>3064</v>
      </c>
      <c r="J833" s="94" t="s">
        <v>3065</v>
      </c>
      <c r="K833" s="94"/>
      <c r="L833" s="52" t="str">
        <f>HYPERLINK("https://zibs.nl/wiki/Polsfrequentie-v3.1(2017NL)#","")</f>
        <v/>
      </c>
      <c r="M833" s="94"/>
      <c r="N833" s="53"/>
      <c r="O833" s="54"/>
    </row>
    <row r="834" spans="1:15" ht="38.25" x14ac:dyDescent="0.25">
      <c r="A834" s="91" t="s">
        <v>3052</v>
      </c>
      <c r="B834" t="s">
        <v>3053</v>
      </c>
      <c r="C834" s="93" t="s">
        <v>66</v>
      </c>
      <c r="D834" s="93"/>
      <c r="E834" s="94" t="s">
        <v>67</v>
      </c>
      <c r="F834" s="94" t="s">
        <v>68</v>
      </c>
      <c r="G834" s="94" t="s">
        <v>69</v>
      </c>
      <c r="H834" s="94" t="s">
        <v>70</v>
      </c>
      <c r="I834" s="94" t="s">
        <v>3066</v>
      </c>
      <c r="J834" s="94" t="s">
        <v>3067</v>
      </c>
      <c r="K834" s="94" t="s">
        <v>73</v>
      </c>
      <c r="L834" s="52" t="str">
        <f>HYPERLINK("https://zibs.nl/wiki/Polsfrequentie-v3.1(2017NL)#","")</f>
        <v/>
      </c>
      <c r="M834" s="94"/>
      <c r="N834" s="53"/>
      <c r="O834" s="54"/>
    </row>
    <row r="835" spans="1:15" ht="15" x14ac:dyDescent="0.25">
      <c r="A835" s="91" t="s">
        <v>3052</v>
      </c>
      <c r="B835" t="s">
        <v>3053</v>
      </c>
      <c r="C835" s="93" t="s">
        <v>3068</v>
      </c>
      <c r="D835" s="93"/>
      <c r="E835" s="94" t="s">
        <v>3069</v>
      </c>
      <c r="F835" s="94" t="s">
        <v>76</v>
      </c>
      <c r="G835" s="94" t="s">
        <v>69</v>
      </c>
      <c r="H835" s="94" t="s">
        <v>70</v>
      </c>
      <c r="I835" s="94" t="s">
        <v>3070</v>
      </c>
      <c r="J835" s="94" t="s">
        <v>3071</v>
      </c>
      <c r="K835" s="94"/>
      <c r="L835" s="52" t="str">
        <f>HYPERLINK("https://zibs.nl/wiki/Polsfrequentie-v3.1(2017NL)#PolsRegelmatigheidCodelijst","PolsRegelmatigheidCodelijst")</f>
        <v>PolsRegelmatigheidCodelijst</v>
      </c>
      <c r="M835" s="94"/>
      <c r="N835" s="53"/>
      <c r="O835" s="54"/>
    </row>
    <row r="836" spans="1:15" ht="15" x14ac:dyDescent="0.25">
      <c r="A836" s="91" t="s">
        <v>3072</v>
      </c>
      <c r="B836" t="s">
        <v>3073</v>
      </c>
      <c r="C836" s="91" t="s">
        <v>3072</v>
      </c>
      <c r="D836" s="91"/>
      <c r="E836" s="92" t="s">
        <v>3074</v>
      </c>
      <c r="F836" s="92"/>
      <c r="G836" s="92"/>
      <c r="H836" s="92" t="s">
        <v>62</v>
      </c>
      <c r="I836" s="92" t="s">
        <v>3075</v>
      </c>
      <c r="J836" s="92" t="s">
        <v>3076</v>
      </c>
      <c r="K836" s="92"/>
      <c r="L836" s="52" t="str">
        <f>HYPERLINK("https://zibs.nl/wiki/SNAQScore-v3.1(2017NL)#","")</f>
        <v/>
      </c>
      <c r="M836" s="92"/>
      <c r="N836" s="53"/>
      <c r="O836" s="54"/>
    </row>
    <row r="837" spans="1:15" ht="15" x14ac:dyDescent="0.25">
      <c r="A837" s="91" t="s">
        <v>3072</v>
      </c>
      <c r="B837" t="s">
        <v>3073</v>
      </c>
      <c r="C837" s="93" t="s">
        <v>2107</v>
      </c>
      <c r="D837" s="93"/>
      <c r="E837" s="94" t="s">
        <v>2108</v>
      </c>
      <c r="F837" s="94" t="s">
        <v>474</v>
      </c>
      <c r="G837" s="94" t="s">
        <v>69</v>
      </c>
      <c r="H837" s="94" t="s">
        <v>70</v>
      </c>
      <c r="I837" s="94" t="s">
        <v>3077</v>
      </c>
      <c r="J837" s="94" t="s">
        <v>3078</v>
      </c>
      <c r="K837" s="94"/>
      <c r="L837" s="52" t="str">
        <f>HYPERLINK("https://zibs.nl/wiki/SNAQScore-v3.1(2017NL)#SNAQGewichtsverliesScoreCodelijst","SNAQGewichtsverliesScoreCodelijst")</f>
        <v>SNAQGewichtsverliesScoreCodelijst</v>
      </c>
      <c r="M837" s="94"/>
      <c r="N837" s="53"/>
      <c r="O837" s="54"/>
    </row>
    <row r="838" spans="1:15" ht="15" x14ac:dyDescent="0.25">
      <c r="A838" s="91" t="s">
        <v>3072</v>
      </c>
      <c r="B838" t="s">
        <v>3073</v>
      </c>
      <c r="C838" s="93" t="s">
        <v>3037</v>
      </c>
      <c r="D838" s="93"/>
      <c r="E838" s="94" t="s">
        <v>3038</v>
      </c>
      <c r="F838" s="94" t="s">
        <v>474</v>
      </c>
      <c r="G838" s="94" t="s">
        <v>69</v>
      </c>
      <c r="H838" s="94" t="s">
        <v>70</v>
      </c>
      <c r="I838" s="94" t="s">
        <v>3079</v>
      </c>
      <c r="J838" s="94" t="s">
        <v>3040</v>
      </c>
      <c r="K838" s="94"/>
      <c r="L838" s="52" t="str">
        <f>HYPERLINK("https://zibs.nl/wiki/SNAQScore-v3.1(2017NL)#EetlustScoreCodelijst","EetlustScoreCodelijst")</f>
        <v>EetlustScoreCodelijst</v>
      </c>
      <c r="M838" s="94"/>
      <c r="N838" s="53"/>
      <c r="O838" s="54"/>
    </row>
    <row r="839" spans="1:15" ht="15" x14ac:dyDescent="0.25">
      <c r="A839" s="91" t="s">
        <v>3072</v>
      </c>
      <c r="B839" t="s">
        <v>3073</v>
      </c>
      <c r="C839" s="93" t="s">
        <v>2996</v>
      </c>
      <c r="D839" s="93"/>
      <c r="E839" s="94" t="s">
        <v>2997</v>
      </c>
      <c r="F839" s="94" t="s">
        <v>474</v>
      </c>
      <c r="G839" s="94" t="s">
        <v>69</v>
      </c>
      <c r="H839" s="94" t="s">
        <v>70</v>
      </c>
      <c r="I839" s="94" t="s">
        <v>3080</v>
      </c>
      <c r="J839" s="94" t="s">
        <v>3081</v>
      </c>
      <c r="K839" s="94"/>
      <c r="L839" s="52" t="str">
        <f>HYPERLINK("https://zibs.nl/wiki/SNAQScore-v3.1(2017NL)#VoedingsScoreCodelijst","VoedingsScoreCodelijst")</f>
        <v>VoedingsScoreCodelijst</v>
      </c>
      <c r="M839" s="94"/>
      <c r="N839" s="53"/>
      <c r="O839" s="54"/>
    </row>
    <row r="840" spans="1:15" ht="25.5" x14ac:dyDescent="0.25">
      <c r="A840" s="91" t="s">
        <v>3072</v>
      </c>
      <c r="B840" t="s">
        <v>3073</v>
      </c>
      <c r="C840" s="93" t="s">
        <v>1335</v>
      </c>
      <c r="D840" s="93"/>
      <c r="E840" s="94" t="s">
        <v>1336</v>
      </c>
      <c r="F840" s="94" t="s">
        <v>505</v>
      </c>
      <c r="G840" s="94" t="s">
        <v>69</v>
      </c>
      <c r="H840" s="94" t="s">
        <v>70</v>
      </c>
      <c r="I840" s="94" t="s">
        <v>3082</v>
      </c>
      <c r="J840" s="94" t="s">
        <v>2985</v>
      </c>
      <c r="K840" s="94"/>
      <c r="L840" s="52" t="str">
        <f>HYPERLINK("https://zibs.nl/wiki/SNAQScore-v3.1(2017NL)#","")</f>
        <v/>
      </c>
      <c r="M840" s="94" t="s">
        <v>2986</v>
      </c>
      <c r="N840" s="53"/>
      <c r="O840" s="54"/>
    </row>
    <row r="841" spans="1:15" ht="25.5" x14ac:dyDescent="0.25">
      <c r="A841" s="91" t="s">
        <v>3072</v>
      </c>
      <c r="B841" t="s">
        <v>3073</v>
      </c>
      <c r="C841" s="93" t="s">
        <v>3083</v>
      </c>
      <c r="D841" s="93"/>
      <c r="E841" s="94" t="s">
        <v>3048</v>
      </c>
      <c r="F841" s="94" t="s">
        <v>88</v>
      </c>
      <c r="G841" s="94" t="s">
        <v>77</v>
      </c>
      <c r="H841" s="94" t="s">
        <v>70</v>
      </c>
      <c r="I841" s="94" t="s">
        <v>3084</v>
      </c>
      <c r="J841" s="94" t="s">
        <v>3085</v>
      </c>
      <c r="K841" s="94"/>
      <c r="L841" s="52" t="str">
        <f>HYPERLINK("https://zibs.nl/wiki/SNAQScore-v3.1(2017NL)#","")</f>
        <v/>
      </c>
      <c r="M841" s="94"/>
      <c r="N841" s="53"/>
      <c r="O841" s="54"/>
    </row>
    <row r="842" spans="1:15" ht="25.5" x14ac:dyDescent="0.25">
      <c r="A842" s="91" t="s">
        <v>3072</v>
      </c>
      <c r="B842" t="s">
        <v>3073</v>
      </c>
      <c r="C842" s="93" t="s">
        <v>66</v>
      </c>
      <c r="D842" s="93"/>
      <c r="E842" s="94" t="s">
        <v>67</v>
      </c>
      <c r="F842" s="94" t="s">
        <v>68</v>
      </c>
      <c r="G842" s="94" t="s">
        <v>69</v>
      </c>
      <c r="H842" s="94" t="s">
        <v>70</v>
      </c>
      <c r="I842" s="94" t="s">
        <v>3086</v>
      </c>
      <c r="J842" s="94" t="s">
        <v>1446</v>
      </c>
      <c r="K842" s="94" t="s">
        <v>73</v>
      </c>
      <c r="L842" s="52" t="str">
        <f>HYPERLINK("https://zibs.nl/wiki/SNAQScore-v3.1(2017NL)#","")</f>
        <v/>
      </c>
      <c r="M842" s="94"/>
      <c r="N842" s="53"/>
      <c r="O842" s="54"/>
    </row>
    <row r="843" spans="1:15" ht="25.5" x14ac:dyDescent="0.25">
      <c r="A843" s="91" t="s">
        <v>3087</v>
      </c>
      <c r="B843" t="s">
        <v>3088</v>
      </c>
      <c r="C843" s="91" t="s">
        <v>3087</v>
      </c>
      <c r="D843" s="91"/>
      <c r="E843" s="92" t="s">
        <v>3089</v>
      </c>
      <c r="F843" s="92"/>
      <c r="G843" s="92"/>
      <c r="H843" s="92" t="s">
        <v>62</v>
      </c>
      <c r="I843" s="92" t="s">
        <v>3090</v>
      </c>
      <c r="J843" s="92" t="s">
        <v>3091</v>
      </c>
      <c r="K843" s="92"/>
      <c r="L843" s="52" t="str">
        <f>HYPERLINK("https://zibs.nl/wiki/Schedelomvang-v1.1(2017NL)#","")</f>
        <v/>
      </c>
      <c r="M843" s="92"/>
      <c r="N843" s="53"/>
      <c r="O843" s="54"/>
    </row>
    <row r="844" spans="1:15" ht="25.5" x14ac:dyDescent="0.25">
      <c r="A844" s="91" t="s">
        <v>3087</v>
      </c>
      <c r="B844" t="s">
        <v>3088</v>
      </c>
      <c r="C844" s="93" t="s">
        <v>66</v>
      </c>
      <c r="D844" s="93"/>
      <c r="E844" s="94" t="s">
        <v>67</v>
      </c>
      <c r="F844" s="94" t="s">
        <v>68</v>
      </c>
      <c r="G844" s="94" t="s">
        <v>69</v>
      </c>
      <c r="H844" s="94" t="s">
        <v>70</v>
      </c>
      <c r="I844" s="94" t="s">
        <v>3092</v>
      </c>
      <c r="J844" s="94" t="s">
        <v>3093</v>
      </c>
      <c r="K844" s="94" t="s">
        <v>73</v>
      </c>
      <c r="L844" s="52" t="str">
        <f>HYPERLINK("https://zibs.nl/wiki/Schedelomvang-v1.1(2017NL)#","")</f>
        <v/>
      </c>
      <c r="M844" s="94"/>
      <c r="N844" s="53"/>
      <c r="O844" s="54"/>
    </row>
    <row r="845" spans="1:15" ht="38.25" x14ac:dyDescent="0.25">
      <c r="A845" s="91" t="s">
        <v>3087</v>
      </c>
      <c r="B845" t="s">
        <v>3088</v>
      </c>
      <c r="C845" s="93" t="s">
        <v>3094</v>
      </c>
      <c r="D845" s="93"/>
      <c r="E845" s="94" t="s">
        <v>3095</v>
      </c>
      <c r="F845" s="94" t="s">
        <v>88</v>
      </c>
      <c r="G845" s="94" t="s">
        <v>77</v>
      </c>
      <c r="H845" s="94" t="s">
        <v>70</v>
      </c>
      <c r="I845" s="94" t="s">
        <v>3096</v>
      </c>
      <c r="J845" s="94" t="s">
        <v>3097</v>
      </c>
      <c r="K845" s="94"/>
      <c r="L845" s="52" t="str">
        <f>HYPERLINK("https://zibs.nl/wiki/Schedelomvang-v1.1(2017NL)#","")</f>
        <v/>
      </c>
      <c r="M845" s="94"/>
      <c r="N845" s="53"/>
      <c r="O845" s="54"/>
    </row>
    <row r="846" spans="1:15" ht="38.25" x14ac:dyDescent="0.25">
      <c r="A846" s="91" t="s">
        <v>3087</v>
      </c>
      <c r="B846" t="s">
        <v>3088</v>
      </c>
      <c r="C846" s="93" t="s">
        <v>3098</v>
      </c>
      <c r="D846" s="93"/>
      <c r="E846" s="94" t="s">
        <v>3099</v>
      </c>
      <c r="F846" s="94" t="s">
        <v>97</v>
      </c>
      <c r="G846" s="94" t="s">
        <v>77</v>
      </c>
      <c r="H846" s="94" t="s">
        <v>70</v>
      </c>
      <c r="I846" s="94" t="s">
        <v>3100</v>
      </c>
      <c r="J846" s="94" t="s">
        <v>3101</v>
      </c>
      <c r="K846" s="94" t="s">
        <v>3102</v>
      </c>
      <c r="L846" s="52" t="str">
        <f>HYPERLINK("https://zibs.nl/wiki/Schedelomvang-v1.1(2017NL)#","")</f>
        <v/>
      </c>
      <c r="M846" s="94"/>
      <c r="N846" s="53"/>
      <c r="O846" s="54"/>
    </row>
    <row r="847" spans="1:15" ht="38.25" x14ac:dyDescent="0.25">
      <c r="A847" s="91" t="s">
        <v>3087</v>
      </c>
      <c r="B847" t="s">
        <v>3088</v>
      </c>
      <c r="C847" s="93" t="s">
        <v>3103</v>
      </c>
      <c r="D847" s="93"/>
      <c r="E847" s="94" t="s">
        <v>3104</v>
      </c>
      <c r="F847" s="94" t="s">
        <v>76</v>
      </c>
      <c r="G847" s="94" t="s">
        <v>69</v>
      </c>
      <c r="H847" s="94" t="s">
        <v>70</v>
      </c>
      <c r="I847" s="94" t="s">
        <v>3105</v>
      </c>
      <c r="J847" s="94" t="s">
        <v>3106</v>
      </c>
      <c r="K847" s="94" t="s">
        <v>3107</v>
      </c>
      <c r="L847" s="52" t="str">
        <f>HYPERLINK("https://zibs.nl/wiki/Schedelomvang-v1.1(2017NL)#SchedelomvangMeetmethodeCodelijst","SchedelomvangMeetmethodeCodelijst")</f>
        <v>SchedelomvangMeetmethodeCodelijst</v>
      </c>
      <c r="M847" s="94"/>
      <c r="N847" s="53"/>
      <c r="O847" s="54"/>
    </row>
    <row r="848" spans="1:15" ht="15" x14ac:dyDescent="0.25">
      <c r="A848" s="91" t="s">
        <v>3108</v>
      </c>
      <c r="B848" t="s">
        <v>3109</v>
      </c>
      <c r="C848" s="91" t="s">
        <v>3108</v>
      </c>
      <c r="D848" s="91"/>
      <c r="E848" s="92" t="s">
        <v>3110</v>
      </c>
      <c r="F848" s="92"/>
      <c r="G848" s="92"/>
      <c r="H848" s="92" t="s">
        <v>62</v>
      </c>
      <c r="I848" s="92" t="s">
        <v>3111</v>
      </c>
      <c r="J848" s="92" t="s">
        <v>3112</v>
      </c>
      <c r="K848" s="92"/>
      <c r="L848" s="52" t="str">
        <f>HYPERLINK("https://zibs.nl/wiki/Pijnscore-v3.1(2017NL)#","")</f>
        <v/>
      </c>
      <c r="M848" s="92"/>
      <c r="N848" s="53"/>
      <c r="O848" s="54"/>
    </row>
    <row r="849" spans="1:15" ht="89.25" x14ac:dyDescent="0.25">
      <c r="A849" s="91" t="s">
        <v>3108</v>
      </c>
      <c r="B849" t="s">
        <v>3109</v>
      </c>
      <c r="C849" s="93" t="s">
        <v>3113</v>
      </c>
      <c r="D849" s="93"/>
      <c r="E849" s="94" t="s">
        <v>3114</v>
      </c>
      <c r="F849" s="94" t="s">
        <v>505</v>
      </c>
      <c r="G849" s="94" t="s">
        <v>77</v>
      </c>
      <c r="H849" s="94" t="s">
        <v>70</v>
      </c>
      <c r="I849" s="94" t="s">
        <v>3115</v>
      </c>
      <c r="J849" s="94" t="s">
        <v>3116</v>
      </c>
      <c r="K849" s="94" t="s">
        <v>3117</v>
      </c>
      <c r="L849" s="52" t="str">
        <f>HYPERLINK("https://zibs.nl/wiki/Pijnscore-v3.1(2017NL)#","")</f>
        <v/>
      </c>
      <c r="M849" s="94" t="s">
        <v>3118</v>
      </c>
      <c r="N849" s="53"/>
      <c r="O849" s="54"/>
    </row>
    <row r="850" spans="1:15" ht="15" x14ac:dyDescent="0.25">
      <c r="A850" s="91" t="s">
        <v>3108</v>
      </c>
      <c r="B850" t="s">
        <v>3109</v>
      </c>
      <c r="C850" s="93" t="s">
        <v>3119</v>
      </c>
      <c r="D850" s="93"/>
      <c r="E850" s="94" t="s">
        <v>3120</v>
      </c>
      <c r="F850" s="94" t="s">
        <v>88</v>
      </c>
      <c r="G850" s="94" t="s">
        <v>77</v>
      </c>
      <c r="H850" s="94" t="s">
        <v>70</v>
      </c>
      <c r="I850" s="94" t="s">
        <v>3121</v>
      </c>
      <c r="J850" s="94" t="s">
        <v>3122</v>
      </c>
      <c r="K850" s="94"/>
      <c r="L850" s="52" t="str">
        <f>HYPERLINK("https://zibs.nl/wiki/Pijnscore-v3.1(2017NL)#","")</f>
        <v/>
      </c>
      <c r="M850" s="94"/>
      <c r="N850" s="53"/>
      <c r="O850" s="54"/>
    </row>
    <row r="851" spans="1:15" ht="25.5" x14ac:dyDescent="0.25">
      <c r="A851" s="91" t="s">
        <v>3108</v>
      </c>
      <c r="B851" t="s">
        <v>3109</v>
      </c>
      <c r="C851" s="93" t="s">
        <v>3123</v>
      </c>
      <c r="D851" s="93"/>
      <c r="E851" s="94" t="s">
        <v>3124</v>
      </c>
      <c r="F851" s="94" t="s">
        <v>76</v>
      </c>
      <c r="G851" s="94" t="s">
        <v>77</v>
      </c>
      <c r="H851" s="94" t="s">
        <v>70</v>
      </c>
      <c r="I851" s="94" t="s">
        <v>3125</v>
      </c>
      <c r="J851" s="94" t="s">
        <v>3126</v>
      </c>
      <c r="K851" s="94"/>
      <c r="L851" s="52" t="str">
        <f>HYPERLINK("https://zibs.nl/wiki/Pijnscore-v3.1(2017NL)#PijnMeetmethodeCodelijst","PijnMeetmethodeCodelijst")</f>
        <v>PijnMeetmethodeCodelijst</v>
      </c>
      <c r="M851" s="94"/>
      <c r="N851" s="53"/>
      <c r="O851" s="54"/>
    </row>
    <row r="852" spans="1:15" ht="25.5" x14ac:dyDescent="0.25">
      <c r="A852" s="91" t="s">
        <v>3108</v>
      </c>
      <c r="B852" t="s">
        <v>3109</v>
      </c>
      <c r="C852" s="93" t="s">
        <v>543</v>
      </c>
      <c r="D852" s="93"/>
      <c r="E852" s="94" t="s">
        <v>544</v>
      </c>
      <c r="F852" s="94" t="s">
        <v>76</v>
      </c>
      <c r="G852" s="94" t="s">
        <v>69</v>
      </c>
      <c r="H852" s="94" t="s">
        <v>70</v>
      </c>
      <c r="I852" s="94" t="s">
        <v>3127</v>
      </c>
      <c r="J852" s="94" t="s">
        <v>906</v>
      </c>
      <c r="K852" s="94" t="s">
        <v>807</v>
      </c>
      <c r="L852" s="52" t="str">
        <f>HYPERLINK("https://zibs.nl/wiki/Pijnscore-v3.1(2017NL)#PijnAnatomischeLocatieCodelijst","PijnAnatomischeLocatieCodelijst")</f>
        <v>PijnAnatomischeLocatieCodelijst</v>
      </c>
      <c r="M852" s="94"/>
      <c r="N852" s="53"/>
      <c r="O852" s="54"/>
    </row>
    <row r="853" spans="1:15" ht="25.5" x14ac:dyDescent="0.25">
      <c r="A853" s="91" t="s">
        <v>3108</v>
      </c>
      <c r="B853" t="s">
        <v>3109</v>
      </c>
      <c r="C853" s="93" t="s">
        <v>548</v>
      </c>
      <c r="D853" s="93"/>
      <c r="E853" s="94" t="s">
        <v>549</v>
      </c>
      <c r="F853" s="94" t="s">
        <v>76</v>
      </c>
      <c r="G853" s="94" t="s">
        <v>69</v>
      </c>
      <c r="H853" s="94" t="s">
        <v>70</v>
      </c>
      <c r="I853" s="94" t="s">
        <v>3128</v>
      </c>
      <c r="J853" s="94" t="s">
        <v>551</v>
      </c>
      <c r="K853" s="94" t="s">
        <v>552</v>
      </c>
      <c r="L853" s="52" t="str">
        <f>HYPERLINK("https://zibs.nl/wiki/Pijnscore-v3.1(2017NL)#PijnLateraliteitCodelijst","PijnLateraliteitCodelijst")</f>
        <v>PijnLateraliteitCodelijst</v>
      </c>
      <c r="M853" s="94"/>
      <c r="N853" s="53"/>
      <c r="O853" s="54"/>
    </row>
    <row r="854" spans="1:15" ht="25.5" x14ac:dyDescent="0.25">
      <c r="A854" s="91" t="s">
        <v>3108</v>
      </c>
      <c r="B854" t="s">
        <v>3109</v>
      </c>
      <c r="C854" s="93" t="s">
        <v>66</v>
      </c>
      <c r="D854" s="93"/>
      <c r="E854" s="94" t="s">
        <v>67</v>
      </c>
      <c r="F854" s="94" t="s">
        <v>68</v>
      </c>
      <c r="G854" s="94" t="s">
        <v>69</v>
      </c>
      <c r="H854" s="94" t="s">
        <v>70</v>
      </c>
      <c r="I854" s="94" t="s">
        <v>3129</v>
      </c>
      <c r="J854" s="94" t="s">
        <v>3130</v>
      </c>
      <c r="K854" s="94" t="s">
        <v>73</v>
      </c>
      <c r="L854" s="52" t="str">
        <f>HYPERLINK("https://zibs.nl/wiki/Pijnscore-v3.1(2017NL)#","")</f>
        <v/>
      </c>
      <c r="M854" s="94"/>
      <c r="N854" s="53"/>
      <c r="O854" s="54"/>
    </row>
    <row r="855" spans="1:15" ht="15" x14ac:dyDescent="0.25">
      <c r="A855" s="91" t="s">
        <v>3131</v>
      </c>
      <c r="B855" t="s">
        <v>3132</v>
      </c>
      <c r="C855" s="91" t="s">
        <v>3131</v>
      </c>
      <c r="D855" s="91"/>
      <c r="E855" s="92" t="s">
        <v>3133</v>
      </c>
      <c r="F855" s="92"/>
      <c r="G855" s="92"/>
      <c r="H855" s="92" t="s">
        <v>62</v>
      </c>
      <c r="I855" s="92" t="s">
        <v>3134</v>
      </c>
      <c r="J855" s="92" t="s">
        <v>3135</v>
      </c>
      <c r="K855" s="92"/>
      <c r="L855" s="52" t="str">
        <f>HYPERLINK("https://zibs.nl/wiki/SNAQrcScore-v1.0(2017NL)#","")</f>
        <v/>
      </c>
      <c r="M855" s="92"/>
      <c r="N855" s="53"/>
      <c r="O855" s="54"/>
    </row>
    <row r="856" spans="1:15" ht="15" x14ac:dyDescent="0.25">
      <c r="A856" s="91" t="s">
        <v>3131</v>
      </c>
      <c r="B856" t="s">
        <v>3132</v>
      </c>
      <c r="C856" s="93" t="s">
        <v>2107</v>
      </c>
      <c r="D856" s="93"/>
      <c r="E856" s="94" t="s">
        <v>2108</v>
      </c>
      <c r="F856" s="94" t="s">
        <v>474</v>
      </c>
      <c r="G856" s="94" t="s">
        <v>69</v>
      </c>
      <c r="H856" s="94" t="s">
        <v>70</v>
      </c>
      <c r="I856" s="94" t="s">
        <v>3136</v>
      </c>
      <c r="J856" s="94" t="s">
        <v>3078</v>
      </c>
      <c r="K856" s="94"/>
      <c r="L856" s="52" t="str">
        <f>HYPERLINK("https://zibs.nl/wiki/SNAQrcScore-v1.0(2017NL)#SNAQrcGewichtsverliesScoreCodelijst","SNAQrcGewichtsverliesScoreCodelijst")</f>
        <v>SNAQrcGewichtsverliesScoreCodelijst</v>
      </c>
      <c r="M856" s="94"/>
      <c r="N856" s="53"/>
      <c r="O856" s="54"/>
    </row>
    <row r="857" spans="1:15" ht="15" x14ac:dyDescent="0.25">
      <c r="A857" s="91" t="s">
        <v>3131</v>
      </c>
      <c r="B857" t="s">
        <v>3132</v>
      </c>
      <c r="C857" s="93" t="s">
        <v>3037</v>
      </c>
      <c r="D857" s="93"/>
      <c r="E857" s="94" t="s">
        <v>3038</v>
      </c>
      <c r="F857" s="94" t="s">
        <v>474</v>
      </c>
      <c r="G857" s="94" t="s">
        <v>69</v>
      </c>
      <c r="H857" s="94" t="s">
        <v>70</v>
      </c>
      <c r="I857" s="94" t="s">
        <v>3137</v>
      </c>
      <c r="J857" s="94" t="s">
        <v>3040</v>
      </c>
      <c r="K857" s="94"/>
      <c r="L857" s="52" t="str">
        <f>HYPERLINK("https://zibs.nl/wiki/SNAQrcScore-v1.0(2017NL)#SNAQrcEetlustScoreCodelijst","SNAQrcEetlustScoreCodelijst")</f>
        <v>SNAQrcEetlustScoreCodelijst</v>
      </c>
      <c r="M857" s="94"/>
      <c r="N857" s="53"/>
      <c r="O857" s="54"/>
    </row>
    <row r="858" spans="1:15" ht="15" x14ac:dyDescent="0.25">
      <c r="A858" s="91" t="s">
        <v>3131</v>
      </c>
      <c r="B858" t="s">
        <v>3132</v>
      </c>
      <c r="C858" s="93" t="s">
        <v>2104</v>
      </c>
      <c r="D858" s="93"/>
      <c r="E858" s="94" t="s">
        <v>2105</v>
      </c>
      <c r="F858" s="94" t="s">
        <v>474</v>
      </c>
      <c r="G858" s="94" t="s">
        <v>69</v>
      </c>
      <c r="H858" s="94" t="s">
        <v>70</v>
      </c>
      <c r="I858" s="94" t="s">
        <v>3138</v>
      </c>
      <c r="J858" s="94" t="s">
        <v>3139</v>
      </c>
      <c r="K858" s="94"/>
      <c r="L858" s="52" t="str">
        <f>HYPERLINK("https://zibs.nl/wiki/SNAQrcScore-v1.0(2017NL)#SNAQrcBMIScoreCodelijst","SNAQrcBMIScoreCodelijst")</f>
        <v>SNAQrcBMIScoreCodelijst</v>
      </c>
      <c r="M858" s="94"/>
      <c r="N858" s="53"/>
      <c r="O858" s="54"/>
    </row>
    <row r="859" spans="1:15" ht="15" x14ac:dyDescent="0.25">
      <c r="A859" s="91" t="s">
        <v>3131</v>
      </c>
      <c r="B859" t="s">
        <v>3132</v>
      </c>
      <c r="C859" s="93" t="s">
        <v>3140</v>
      </c>
      <c r="D859" s="93"/>
      <c r="E859" s="94" t="s">
        <v>3141</v>
      </c>
      <c r="F859" s="94" t="s">
        <v>474</v>
      </c>
      <c r="G859" s="94" t="s">
        <v>69</v>
      </c>
      <c r="H859" s="94" t="s">
        <v>70</v>
      </c>
      <c r="I859" s="94" t="s">
        <v>3142</v>
      </c>
      <c r="J859" s="94" t="s">
        <v>3143</v>
      </c>
      <c r="K859" s="94"/>
      <c r="L859" s="52" t="str">
        <f>HYPERLINK("https://zibs.nl/wiki/SNAQrcScore-v1.0(2017NL)#SNAQrcHulpBijEtenCodelijst","SNAQrcHulpBijEtenCodelijst")</f>
        <v>SNAQrcHulpBijEtenCodelijst</v>
      </c>
      <c r="M859" s="94"/>
      <c r="N859" s="53"/>
      <c r="O859" s="54"/>
    </row>
    <row r="860" spans="1:15" ht="63.75" x14ac:dyDescent="0.25">
      <c r="A860" s="91" t="s">
        <v>3131</v>
      </c>
      <c r="B860" t="s">
        <v>3132</v>
      </c>
      <c r="C860" s="93" t="s">
        <v>1335</v>
      </c>
      <c r="D860" s="93"/>
      <c r="E860" s="94" t="s">
        <v>1336</v>
      </c>
      <c r="F860" s="94" t="s">
        <v>505</v>
      </c>
      <c r="G860" s="94" t="s">
        <v>69</v>
      </c>
      <c r="H860" s="94" t="s">
        <v>70</v>
      </c>
      <c r="I860" s="94" t="s">
        <v>3144</v>
      </c>
      <c r="J860" s="94" t="s">
        <v>3145</v>
      </c>
      <c r="K860" s="94"/>
      <c r="L860" s="52" t="str">
        <f>HYPERLINK("https://zibs.nl/wiki/SNAQrcScore-v1.0(2017NL)#","")</f>
        <v/>
      </c>
      <c r="M860" s="94" t="s">
        <v>2986</v>
      </c>
      <c r="N860" s="53"/>
      <c r="O860" s="54"/>
    </row>
    <row r="861" spans="1:15" ht="25.5" x14ac:dyDescent="0.25">
      <c r="A861" s="91" t="s">
        <v>3131</v>
      </c>
      <c r="B861" t="s">
        <v>3132</v>
      </c>
      <c r="C861" s="93" t="s">
        <v>3146</v>
      </c>
      <c r="D861" s="93"/>
      <c r="E861" s="94" t="s">
        <v>3147</v>
      </c>
      <c r="F861" s="94" t="s">
        <v>88</v>
      </c>
      <c r="G861" s="94" t="s">
        <v>77</v>
      </c>
      <c r="H861" s="94" t="s">
        <v>70</v>
      </c>
      <c r="I861" s="94" t="s">
        <v>3148</v>
      </c>
      <c r="J861" s="94" t="s">
        <v>3149</v>
      </c>
      <c r="K861" s="94"/>
      <c r="L861" s="52" t="str">
        <f>HYPERLINK("https://zibs.nl/wiki/SNAQrcScore-v1.0(2017NL)#","")</f>
        <v/>
      </c>
      <c r="M861" s="94"/>
      <c r="N861" s="53"/>
      <c r="O861" s="54"/>
    </row>
    <row r="862" spans="1:15" ht="25.5" x14ac:dyDescent="0.25">
      <c r="A862" s="91" t="s">
        <v>3131</v>
      </c>
      <c r="B862" t="s">
        <v>3132</v>
      </c>
      <c r="C862" s="93" t="s">
        <v>66</v>
      </c>
      <c r="D862" s="93"/>
      <c r="E862" s="94" t="s">
        <v>67</v>
      </c>
      <c r="F862" s="94" t="s">
        <v>68</v>
      </c>
      <c r="G862" s="94" t="s">
        <v>69</v>
      </c>
      <c r="H862" s="94" t="s">
        <v>70</v>
      </c>
      <c r="I862" s="94" t="s">
        <v>3150</v>
      </c>
      <c r="J862" s="94" t="s">
        <v>1446</v>
      </c>
      <c r="K862" s="94" t="s">
        <v>73</v>
      </c>
      <c r="L862" s="52" t="str">
        <f>HYPERLINK("https://zibs.nl/wiki/SNAQrcScore-v1.0(2017NL)#","")</f>
        <v/>
      </c>
      <c r="M862" s="94"/>
      <c r="N862" s="53"/>
      <c r="O862" s="54"/>
    </row>
    <row r="863" spans="1:15" ht="38.25" x14ac:dyDescent="0.25">
      <c r="A863" s="91" t="s">
        <v>3151</v>
      </c>
      <c r="B863" t="s">
        <v>3152</v>
      </c>
      <c r="C863" s="91" t="s">
        <v>3151</v>
      </c>
      <c r="D863" s="91"/>
      <c r="E863" s="92" t="s">
        <v>702</v>
      </c>
      <c r="F863" s="92"/>
      <c r="G863" s="92"/>
      <c r="H863" s="92" t="s">
        <v>62</v>
      </c>
      <c r="I863" s="92" t="s">
        <v>3153</v>
      </c>
      <c r="J863" s="92" t="s">
        <v>3154</v>
      </c>
      <c r="K863" s="92"/>
      <c r="L863" s="52" t="str">
        <f>HYPERLINK("https://zibs.nl/wiki/part.GebruiksInstructie-v1.1(2017NL)#","")</f>
        <v/>
      </c>
      <c r="M863" s="92"/>
      <c r="N863" s="53"/>
      <c r="O863" s="54"/>
    </row>
    <row r="864" spans="1:15" ht="178.5" x14ac:dyDescent="0.25">
      <c r="A864" s="91" t="s">
        <v>3151</v>
      </c>
      <c r="B864" t="s">
        <v>3152</v>
      </c>
      <c r="C864" s="93" t="s">
        <v>3155</v>
      </c>
      <c r="D864" s="93"/>
      <c r="E864" s="94" t="s">
        <v>3156</v>
      </c>
      <c r="F864" s="94" t="s">
        <v>68</v>
      </c>
      <c r="G864" s="94" t="s">
        <v>158</v>
      </c>
      <c r="H864" s="94" t="s">
        <v>70</v>
      </c>
      <c r="I864" s="94" t="s">
        <v>3157</v>
      </c>
      <c r="J864" s="94" t="s">
        <v>3158</v>
      </c>
      <c r="K864" s="94"/>
      <c r="L864" s="52" t="str">
        <f>HYPERLINK("https://zibs.nl/wiki/part.GebruiksInstructie-v1.1(2017NL)#","")</f>
        <v/>
      </c>
      <c r="M864" s="94"/>
      <c r="N864" s="53"/>
      <c r="O864" s="54"/>
    </row>
    <row r="865" spans="1:15" ht="38.25" x14ac:dyDescent="0.25">
      <c r="A865" s="91" t="s">
        <v>3151</v>
      </c>
      <c r="B865" t="s">
        <v>3152</v>
      </c>
      <c r="C865" s="93" t="s">
        <v>2439</v>
      </c>
      <c r="D865" s="93"/>
      <c r="E865" s="94" t="s">
        <v>2440</v>
      </c>
      <c r="F865" s="94" t="s">
        <v>68</v>
      </c>
      <c r="G865" s="94" t="s">
        <v>69</v>
      </c>
      <c r="H865" s="94" t="s">
        <v>70</v>
      </c>
      <c r="I865" s="94" t="s">
        <v>3159</v>
      </c>
      <c r="J865" s="94" t="s">
        <v>3160</v>
      </c>
      <c r="K865" s="94"/>
      <c r="L865" s="52" t="str">
        <f>HYPERLINK("https://zibs.nl/wiki/part.GebruiksInstructie-v1.1(2017NL)#","")</f>
        <v/>
      </c>
      <c r="M865" s="94"/>
      <c r="N865" s="53"/>
      <c r="O865" s="54"/>
    </row>
    <row r="866" spans="1:15" ht="63.75" x14ac:dyDescent="0.25">
      <c r="A866" s="91" t="s">
        <v>3151</v>
      </c>
      <c r="B866" t="s">
        <v>3152</v>
      </c>
      <c r="C866" s="93" t="s">
        <v>3161</v>
      </c>
      <c r="D866" s="93"/>
      <c r="E866" s="94" t="s">
        <v>3162</v>
      </c>
      <c r="F866" s="94" t="s">
        <v>97</v>
      </c>
      <c r="G866" s="94" t="s">
        <v>69</v>
      </c>
      <c r="H866" s="94" t="s">
        <v>70</v>
      </c>
      <c r="I866" s="94" t="s">
        <v>3163</v>
      </c>
      <c r="J866" s="94" t="s">
        <v>3164</v>
      </c>
      <c r="K866" s="94"/>
      <c r="L866" s="52" t="str">
        <f>HYPERLINK("https://zibs.nl/wiki/part.GebruiksInstructie-v1.1(2017NL)#","")</f>
        <v/>
      </c>
      <c r="M866" s="94"/>
      <c r="N866" s="53"/>
      <c r="O866" s="54"/>
    </row>
    <row r="867" spans="1:15" ht="38.25" x14ac:dyDescent="0.25">
      <c r="A867" s="91" t="s">
        <v>3151</v>
      </c>
      <c r="B867" t="s">
        <v>3152</v>
      </c>
      <c r="C867" s="93" t="s">
        <v>457</v>
      </c>
      <c r="D867" s="93"/>
      <c r="E867" s="94" t="s">
        <v>458</v>
      </c>
      <c r="F867" s="94" t="s">
        <v>76</v>
      </c>
      <c r="G867" s="94" t="s">
        <v>69</v>
      </c>
      <c r="H867" s="94" t="s">
        <v>70</v>
      </c>
      <c r="I867" s="94" t="s">
        <v>3165</v>
      </c>
      <c r="J867" s="94" t="s">
        <v>3166</v>
      </c>
      <c r="K867" s="94"/>
      <c r="L867" s="52" t="str">
        <f>HYPERLINK("https://zibs.nl/wiki/part.GebruiksInstructie-v1.1(2017NL)#MedicatieToedieningswegCodelijst","MedicatieToedieningswegCodelijst")</f>
        <v>MedicatieToedieningswegCodelijst</v>
      </c>
      <c r="M867" s="94"/>
      <c r="N867" s="53"/>
      <c r="O867" s="54"/>
    </row>
    <row r="868" spans="1:15" ht="38.25" x14ac:dyDescent="0.25">
      <c r="A868" s="91" t="s">
        <v>3151</v>
      </c>
      <c r="B868" t="s">
        <v>3152</v>
      </c>
      <c r="C868" s="96" t="s">
        <v>3167</v>
      </c>
      <c r="D868" s="96"/>
      <c r="E868" s="97" t="s">
        <v>3168</v>
      </c>
      <c r="F868" s="97"/>
      <c r="G868" s="97" t="s">
        <v>158</v>
      </c>
      <c r="H868" s="97" t="s">
        <v>83</v>
      </c>
      <c r="I868" s="97" t="s">
        <v>3169</v>
      </c>
      <c r="J868" s="97" t="s">
        <v>3167</v>
      </c>
      <c r="K868" s="97"/>
      <c r="L868" s="52" t="str">
        <f>HYPERLINK("https://zibs.nl/wiki/part.GebruiksInstructie-v1.1(2017NL)#","")</f>
        <v/>
      </c>
      <c r="M868" s="97"/>
      <c r="N868" s="53"/>
      <c r="O868" s="54"/>
    </row>
    <row r="869" spans="1:15" ht="38.25" x14ac:dyDescent="0.25">
      <c r="A869" s="91" t="s">
        <v>3151</v>
      </c>
      <c r="B869" t="s">
        <v>3152</v>
      </c>
      <c r="C869" s="93" t="s">
        <v>3170</v>
      </c>
      <c r="D869" s="93"/>
      <c r="E869" s="94" t="s">
        <v>3171</v>
      </c>
      <c r="F869" s="94" t="s">
        <v>97</v>
      </c>
      <c r="G869" s="94" t="s">
        <v>69</v>
      </c>
      <c r="H869" s="94" t="s">
        <v>70</v>
      </c>
      <c r="I869" s="94" t="s">
        <v>3172</v>
      </c>
      <c r="J869" s="94" t="s">
        <v>3173</v>
      </c>
      <c r="K869" s="94"/>
      <c r="L869" s="52" t="str">
        <f>HYPERLINK("https://zibs.nl/wiki/part.GebruiksInstructie-v1.1(2017NL)#","")</f>
        <v/>
      </c>
      <c r="M869" s="94"/>
      <c r="N869" s="53"/>
      <c r="O869" s="54"/>
    </row>
    <row r="870" spans="1:15" ht="38.25" x14ac:dyDescent="0.25">
      <c r="A870" s="91" t="s">
        <v>3151</v>
      </c>
      <c r="B870" t="s">
        <v>3152</v>
      </c>
      <c r="C870" s="93" t="s">
        <v>3174</v>
      </c>
      <c r="D870" s="93"/>
      <c r="E870" s="94" t="s">
        <v>3175</v>
      </c>
      <c r="F870" s="94" t="s">
        <v>505</v>
      </c>
      <c r="G870" s="94" t="s">
        <v>69</v>
      </c>
      <c r="H870" s="94" t="s">
        <v>70</v>
      </c>
      <c r="I870" s="94" t="s">
        <v>3176</v>
      </c>
      <c r="J870" s="94" t="s">
        <v>3177</v>
      </c>
      <c r="K870" s="94"/>
      <c r="L870" s="52" t="str">
        <f>HYPERLINK("https://zibs.nl/wiki/part.GebruiksInstructie-v1.1(2017NL)#","")</f>
        <v/>
      </c>
      <c r="M870" s="94"/>
      <c r="N870" s="53"/>
      <c r="O870" s="54"/>
    </row>
    <row r="871" spans="1:15" ht="38.25" x14ac:dyDescent="0.25">
      <c r="A871" s="91" t="s">
        <v>3151</v>
      </c>
      <c r="B871" t="s">
        <v>3152</v>
      </c>
      <c r="C871" s="96" t="s">
        <v>3178</v>
      </c>
      <c r="D871" s="96"/>
      <c r="E871" s="97" t="s">
        <v>3179</v>
      </c>
      <c r="F871" s="97"/>
      <c r="G871" s="97" t="s">
        <v>158</v>
      </c>
      <c r="H871" s="97" t="s">
        <v>83</v>
      </c>
      <c r="I871" s="97" t="s">
        <v>3180</v>
      </c>
      <c r="J871" s="97" t="s">
        <v>278</v>
      </c>
      <c r="K871" s="97"/>
      <c r="L871" s="52" t="str">
        <f>HYPERLINK("https://zibs.nl/wiki/part.GebruiksInstructie-v1.1(2017NL)#","")</f>
        <v/>
      </c>
      <c r="M871" s="97"/>
      <c r="N871" s="53"/>
      <c r="O871" s="54"/>
    </row>
    <row r="872" spans="1:15" ht="38.25" x14ac:dyDescent="0.25">
      <c r="A872" s="91" t="s">
        <v>3151</v>
      </c>
      <c r="B872" t="s">
        <v>3152</v>
      </c>
      <c r="C872" s="93" t="s">
        <v>1962</v>
      </c>
      <c r="D872" s="93"/>
      <c r="E872" s="94" t="s">
        <v>1963</v>
      </c>
      <c r="F872" s="94"/>
      <c r="G872" s="94" t="s">
        <v>69</v>
      </c>
      <c r="H872" s="94" t="s">
        <v>110</v>
      </c>
      <c r="I872" s="94" t="s">
        <v>3181</v>
      </c>
      <c r="J872" s="94" t="s">
        <v>278</v>
      </c>
      <c r="K872" s="94"/>
      <c r="L872" s="98" t="s">
        <v>1965</v>
      </c>
      <c r="M872" s="94"/>
      <c r="N872" s="53"/>
      <c r="O872" s="54"/>
    </row>
    <row r="873" spans="1:15" ht="38.25" x14ac:dyDescent="0.25">
      <c r="A873" s="91" t="s">
        <v>3151</v>
      </c>
      <c r="B873" t="s">
        <v>3152</v>
      </c>
      <c r="C873" s="93" t="s">
        <v>3182</v>
      </c>
      <c r="D873" s="93"/>
      <c r="E873" s="94" t="s">
        <v>3183</v>
      </c>
      <c r="F873" s="94"/>
      <c r="G873" s="94" t="s">
        <v>69</v>
      </c>
      <c r="H873" s="94" t="s">
        <v>110</v>
      </c>
      <c r="I873" s="94" t="s">
        <v>3184</v>
      </c>
      <c r="J873" s="94" t="s">
        <v>278</v>
      </c>
      <c r="K873" s="94"/>
      <c r="L873" s="98" t="s">
        <v>1965</v>
      </c>
      <c r="M873" s="94"/>
      <c r="N873" s="53"/>
      <c r="O873" s="54"/>
    </row>
    <row r="874" spans="1:15" ht="38.25" x14ac:dyDescent="0.25">
      <c r="A874" s="91" t="s">
        <v>3151</v>
      </c>
      <c r="B874" t="s">
        <v>3152</v>
      </c>
      <c r="C874" s="95" t="s">
        <v>3185</v>
      </c>
      <c r="D874" s="95"/>
      <c r="E874" s="94" t="s">
        <v>3186</v>
      </c>
      <c r="F874" s="94"/>
      <c r="G874" s="94" t="s">
        <v>69</v>
      </c>
      <c r="H874" s="94" t="s">
        <v>110</v>
      </c>
      <c r="I874" s="94" t="s">
        <v>3187</v>
      </c>
      <c r="J874" s="94" t="s">
        <v>278</v>
      </c>
      <c r="K874" s="94"/>
      <c r="L874" s="98" t="s">
        <v>1965</v>
      </c>
      <c r="M874" s="94"/>
      <c r="N874" s="53"/>
      <c r="O874" s="54"/>
    </row>
    <row r="875" spans="1:15" ht="38.25" x14ac:dyDescent="0.25">
      <c r="A875" s="91" t="s">
        <v>3151</v>
      </c>
      <c r="B875" t="s">
        <v>3152</v>
      </c>
      <c r="C875" s="105" t="s">
        <v>3188</v>
      </c>
      <c r="D875" s="105"/>
      <c r="E875" s="97" t="s">
        <v>3189</v>
      </c>
      <c r="F875" s="97"/>
      <c r="G875" s="97" t="s">
        <v>69</v>
      </c>
      <c r="H875" s="97" t="s">
        <v>83</v>
      </c>
      <c r="I875" s="97" t="s">
        <v>3190</v>
      </c>
      <c r="J875" s="97" t="s">
        <v>3191</v>
      </c>
      <c r="K875" s="97"/>
      <c r="L875" s="52" t="str">
        <f>HYPERLINK("https://zibs.nl/wiki/part.GebruiksInstructie-v1.1(2017NL)#","")</f>
        <v/>
      </c>
      <c r="M875" s="97"/>
      <c r="N875" s="53"/>
      <c r="O875" s="54"/>
    </row>
    <row r="876" spans="1:15" ht="89.25" x14ac:dyDescent="0.25">
      <c r="A876" s="91" t="s">
        <v>3151</v>
      </c>
      <c r="B876" t="s">
        <v>3152</v>
      </c>
      <c r="C876" s="95" t="s">
        <v>3192</v>
      </c>
      <c r="D876" s="95"/>
      <c r="E876" s="94" t="s">
        <v>3193</v>
      </c>
      <c r="F876" s="94" t="s">
        <v>76</v>
      </c>
      <c r="G876" s="94" t="s">
        <v>69</v>
      </c>
      <c r="H876" s="94" t="s">
        <v>70</v>
      </c>
      <c r="I876" s="94" t="s">
        <v>3194</v>
      </c>
      <c r="J876" s="94" t="s">
        <v>3195</v>
      </c>
      <c r="K876" s="94"/>
      <c r="L876" s="52" t="str">
        <f>HYPERLINK("https://zibs.nl/wiki/part.GebruiksInstructie-v1.1(2017NL)#ZonodigCriteriumCodelijst","ZonodigCriteriumCodelijst")</f>
        <v>ZonodigCriteriumCodelijst</v>
      </c>
      <c r="M876" s="94"/>
      <c r="N876" s="53"/>
      <c r="O876" s="54"/>
    </row>
    <row r="877" spans="1:15" ht="38.25" x14ac:dyDescent="0.25">
      <c r="A877" s="91" t="s">
        <v>3151</v>
      </c>
      <c r="B877" t="s">
        <v>3152</v>
      </c>
      <c r="C877" s="95" t="s">
        <v>3196</v>
      </c>
      <c r="D877" s="95"/>
      <c r="E877" s="94" t="s">
        <v>3197</v>
      </c>
      <c r="F877" s="94" t="s">
        <v>97</v>
      </c>
      <c r="G877" s="94" t="s">
        <v>69</v>
      </c>
      <c r="H877" s="94" t="s">
        <v>70</v>
      </c>
      <c r="I877" s="94" t="s">
        <v>3198</v>
      </c>
      <c r="J877" s="94" t="s">
        <v>278</v>
      </c>
      <c r="K877" s="94"/>
      <c r="L877" s="52" t="str">
        <f>HYPERLINK("https://zibs.nl/wiki/part.GebruiksInstructie-v1.1(2017NL)#","")</f>
        <v/>
      </c>
      <c r="M877" s="94"/>
      <c r="N877" s="53"/>
      <c r="O877" s="54"/>
    </row>
    <row r="878" spans="1:15" ht="204" x14ac:dyDescent="0.25">
      <c r="A878" s="91" t="s">
        <v>3151</v>
      </c>
      <c r="B878" t="s">
        <v>3152</v>
      </c>
      <c r="C878" s="105" t="s">
        <v>3199</v>
      </c>
      <c r="D878" s="105"/>
      <c r="E878" s="97" t="s">
        <v>3200</v>
      </c>
      <c r="F878" s="97"/>
      <c r="G878" s="97" t="s">
        <v>69</v>
      </c>
      <c r="H878" s="97" t="s">
        <v>83</v>
      </c>
      <c r="I878" s="97" t="s">
        <v>3201</v>
      </c>
      <c r="J878" s="97" t="s">
        <v>3202</v>
      </c>
      <c r="K878" s="97"/>
      <c r="L878" s="52" t="str">
        <f>HYPERLINK("https://zibs.nl/wiki/part.GebruiksInstructie-v1.1(2017NL)#","")</f>
        <v/>
      </c>
      <c r="M878" s="97"/>
      <c r="N878" s="53"/>
      <c r="O878" s="54"/>
    </row>
    <row r="879" spans="1:15" ht="267.75" x14ac:dyDescent="0.25">
      <c r="A879" s="91" t="s">
        <v>3151</v>
      </c>
      <c r="B879" t="s">
        <v>3152</v>
      </c>
      <c r="C879" s="95" t="s">
        <v>3203</v>
      </c>
      <c r="D879" s="95"/>
      <c r="E879" s="94" t="s">
        <v>3204</v>
      </c>
      <c r="F879" s="94"/>
      <c r="G879" s="94" t="s">
        <v>69</v>
      </c>
      <c r="H879" s="94" t="s">
        <v>110</v>
      </c>
      <c r="I879" s="94" t="s">
        <v>3205</v>
      </c>
      <c r="J879" s="94" t="s">
        <v>3206</v>
      </c>
      <c r="K879" s="94"/>
      <c r="L879" s="98" t="s">
        <v>1965</v>
      </c>
      <c r="M879" s="94"/>
      <c r="N879" s="53"/>
      <c r="O879" s="54"/>
    </row>
    <row r="880" spans="1:15" ht="38.25" x14ac:dyDescent="0.25">
      <c r="A880" s="91" t="s">
        <v>3151</v>
      </c>
      <c r="B880" t="s">
        <v>3152</v>
      </c>
      <c r="C880" s="95" t="s">
        <v>3207</v>
      </c>
      <c r="D880" s="95"/>
      <c r="E880" s="94" t="s">
        <v>3208</v>
      </c>
      <c r="F880" s="94" t="s">
        <v>76</v>
      </c>
      <c r="G880" s="94" t="s">
        <v>158</v>
      </c>
      <c r="H880" s="94" t="s">
        <v>70</v>
      </c>
      <c r="I880" s="94" t="s">
        <v>3209</v>
      </c>
      <c r="J880" s="94" t="s">
        <v>3210</v>
      </c>
      <c r="K880" s="94"/>
      <c r="L880" s="52" t="str">
        <f>HYPERLINK("https://zibs.nl/wiki/part.GebruiksInstructie-v1.1(2017NL)#WeekdagCodelijst","WeekdagCodelijst")</f>
        <v>WeekdagCodelijst</v>
      </c>
      <c r="M880" s="94"/>
      <c r="N880" s="53"/>
      <c r="O880" s="54"/>
    </row>
    <row r="881" spans="1:15" ht="38.25" x14ac:dyDescent="0.25">
      <c r="A881" s="91" t="s">
        <v>3151</v>
      </c>
      <c r="B881" t="s">
        <v>3152</v>
      </c>
      <c r="C881" s="95" t="s">
        <v>3211</v>
      </c>
      <c r="D881" s="95"/>
      <c r="E881" s="94" t="s">
        <v>3212</v>
      </c>
      <c r="F881" s="94" t="s">
        <v>76</v>
      </c>
      <c r="G881" s="94" t="s">
        <v>158</v>
      </c>
      <c r="H881" s="94" t="s">
        <v>70</v>
      </c>
      <c r="I881" s="94" t="s">
        <v>3213</v>
      </c>
      <c r="J881" s="94" t="s">
        <v>3214</v>
      </c>
      <c r="K881" s="94"/>
      <c r="L881" s="52" t="str">
        <f>HYPERLINK("https://zibs.nl/wiki/part.GebruiksInstructie-v1.1(2017NL)#DagdeelCodelijst","DagdeelCodelijst")</f>
        <v>DagdeelCodelijst</v>
      </c>
      <c r="M881" s="94"/>
      <c r="N881" s="53"/>
      <c r="O881" s="54"/>
    </row>
    <row r="882" spans="1:15" ht="63.75" x14ac:dyDescent="0.25">
      <c r="A882" s="91" t="s">
        <v>3151</v>
      </c>
      <c r="B882" t="s">
        <v>3152</v>
      </c>
      <c r="C882" s="95" t="s">
        <v>3215</v>
      </c>
      <c r="D882" s="95"/>
      <c r="E882" s="94" t="s">
        <v>3216</v>
      </c>
      <c r="F882" s="94" t="s">
        <v>88</v>
      </c>
      <c r="G882" s="94" t="s">
        <v>158</v>
      </c>
      <c r="H882" s="94" t="s">
        <v>70</v>
      </c>
      <c r="I882" s="94" t="s">
        <v>3217</v>
      </c>
      <c r="J882" s="94" t="s">
        <v>3218</v>
      </c>
      <c r="K882" s="94"/>
      <c r="L882" s="52" t="str">
        <f>HYPERLINK("https://zibs.nl/wiki/part.GebruiksInstructie-v1.1(2017NL)#","")</f>
        <v/>
      </c>
      <c r="M882" s="94"/>
      <c r="N882" s="53"/>
      <c r="O882" s="54"/>
    </row>
    <row r="883" spans="1:15" ht="38.25" x14ac:dyDescent="0.25">
      <c r="A883" s="91" t="s">
        <v>3151</v>
      </c>
      <c r="B883" t="s">
        <v>3152</v>
      </c>
      <c r="C883" s="95" t="s">
        <v>2760</v>
      </c>
      <c r="D883" s="95"/>
      <c r="E883" s="94" t="s">
        <v>2761</v>
      </c>
      <c r="F883" s="94" t="s">
        <v>97</v>
      </c>
      <c r="G883" s="94" t="s">
        <v>69</v>
      </c>
      <c r="H883" s="94" t="s">
        <v>70</v>
      </c>
      <c r="I883" s="94" t="s">
        <v>3219</v>
      </c>
      <c r="J883" s="94" t="s">
        <v>278</v>
      </c>
      <c r="K883" s="94"/>
      <c r="L883" s="52" t="str">
        <f>HYPERLINK("https://zibs.nl/wiki/part.GebruiksInstructie-v1.1(2017NL)#","")</f>
        <v/>
      </c>
      <c r="M883" s="94"/>
      <c r="N883" s="53"/>
      <c r="O883" s="54"/>
    </row>
    <row r="884" spans="1:15" ht="38.25" x14ac:dyDescent="0.25">
      <c r="A884" s="91" t="s">
        <v>3220</v>
      </c>
      <c r="B884" t="s">
        <v>3221</v>
      </c>
      <c r="C884" s="91" t="s">
        <v>3220</v>
      </c>
      <c r="D884" s="91"/>
      <c r="E884" s="92" t="s">
        <v>3222</v>
      </c>
      <c r="F884" s="92"/>
      <c r="G884" s="92"/>
      <c r="H884" s="92" t="s">
        <v>62</v>
      </c>
      <c r="I884" s="92" t="s">
        <v>3223</v>
      </c>
      <c r="J884" s="92" t="s">
        <v>3224</v>
      </c>
      <c r="K884" s="92" t="s">
        <v>3225</v>
      </c>
      <c r="L884" s="52" t="str">
        <f>HYPERLINK("https://zibs.nl/wiki/ParticipatieInMaatschappij-v3.1(2017NL)#","")</f>
        <v/>
      </c>
      <c r="M884" s="92"/>
      <c r="N884" s="53"/>
      <c r="O884" s="54"/>
    </row>
    <row r="885" spans="1:15" ht="38.25" x14ac:dyDescent="0.25">
      <c r="A885" s="91" t="s">
        <v>3220</v>
      </c>
      <c r="B885" t="s">
        <v>3221</v>
      </c>
      <c r="C885" s="93" t="s">
        <v>3226</v>
      </c>
      <c r="D885" s="93"/>
      <c r="E885" s="94" t="s">
        <v>3227</v>
      </c>
      <c r="F885" s="94" t="s">
        <v>68</v>
      </c>
      <c r="G885" s="94" t="s">
        <v>69</v>
      </c>
      <c r="H885" s="94" t="s">
        <v>70</v>
      </c>
      <c r="I885" s="94" t="s">
        <v>3228</v>
      </c>
      <c r="J885" s="94" t="s">
        <v>3229</v>
      </c>
      <c r="K885" s="94" t="s">
        <v>3230</v>
      </c>
      <c r="L885" s="52" t="str">
        <f>HYPERLINK("https://zibs.nl/wiki/ParticipatieInMaatschappij-v3.1(2017NL)#","")</f>
        <v/>
      </c>
      <c r="M885" s="94"/>
      <c r="N885" s="53"/>
      <c r="O885" s="54"/>
    </row>
    <row r="886" spans="1:15" ht="25.5" x14ac:dyDescent="0.25">
      <c r="A886" s="91" t="s">
        <v>3220</v>
      </c>
      <c r="B886" t="s">
        <v>3221</v>
      </c>
      <c r="C886" s="93" t="s">
        <v>3231</v>
      </c>
      <c r="D886" s="93"/>
      <c r="E886" s="94" t="s">
        <v>3232</v>
      </c>
      <c r="F886" s="94" t="s">
        <v>68</v>
      </c>
      <c r="G886" s="94" t="s">
        <v>69</v>
      </c>
      <c r="H886" s="94" t="s">
        <v>70</v>
      </c>
      <c r="I886" s="94" t="s">
        <v>3233</v>
      </c>
      <c r="J886" s="94" t="s">
        <v>3234</v>
      </c>
      <c r="K886" s="94" t="s">
        <v>3235</v>
      </c>
      <c r="L886" s="52" t="str">
        <f>HYPERLINK("https://zibs.nl/wiki/ParticipatieInMaatschappij-v3.1(2017NL)#","")</f>
        <v/>
      </c>
      <c r="M886" s="94"/>
      <c r="N886" s="53"/>
      <c r="O886" s="54"/>
    </row>
    <row r="887" spans="1:15" ht="38.25" x14ac:dyDescent="0.25">
      <c r="A887" s="91" t="s">
        <v>3220</v>
      </c>
      <c r="B887" t="s">
        <v>3221</v>
      </c>
      <c r="C887" s="93" t="s">
        <v>3236</v>
      </c>
      <c r="D887" s="93"/>
      <c r="E887" s="94" t="s">
        <v>3237</v>
      </c>
      <c r="F887" s="94" t="s">
        <v>68</v>
      </c>
      <c r="G887" s="94" t="s">
        <v>69</v>
      </c>
      <c r="H887" s="94" t="s">
        <v>70</v>
      </c>
      <c r="I887" s="94" t="s">
        <v>3238</v>
      </c>
      <c r="J887" s="94" t="s">
        <v>3239</v>
      </c>
      <c r="K887" s="94" t="s">
        <v>3240</v>
      </c>
      <c r="L887" s="52" t="str">
        <f>HYPERLINK("https://zibs.nl/wiki/ParticipatieInMaatschappij-v3.1(2017NL)#","")</f>
        <v/>
      </c>
      <c r="M887" s="94"/>
      <c r="N887" s="53"/>
      <c r="O887" s="54"/>
    </row>
    <row r="888" spans="1:15" ht="25.5" x14ac:dyDescent="0.25">
      <c r="A888" s="91" t="s">
        <v>3220</v>
      </c>
      <c r="B888" t="s">
        <v>3221</v>
      </c>
      <c r="C888" s="93" t="s">
        <v>66</v>
      </c>
      <c r="D888" s="93"/>
      <c r="E888" s="94" t="s">
        <v>67</v>
      </c>
      <c r="F888" s="94" t="s">
        <v>68</v>
      </c>
      <c r="G888" s="94" t="s">
        <v>69</v>
      </c>
      <c r="H888" s="94" t="s">
        <v>70</v>
      </c>
      <c r="I888" s="94" t="s">
        <v>3241</v>
      </c>
      <c r="J888" s="94" t="s">
        <v>3242</v>
      </c>
      <c r="K888" s="94" t="s">
        <v>73</v>
      </c>
      <c r="L888" s="52" t="str">
        <f>HYPERLINK("https://zibs.nl/wiki/ParticipatieInMaatschappij-v3.1(2017NL)#","")</f>
        <v/>
      </c>
      <c r="M888" s="94"/>
      <c r="N888" s="53"/>
      <c r="O888" s="54"/>
    </row>
    <row r="889" spans="1:15" ht="25.5" x14ac:dyDescent="0.25">
      <c r="A889" s="91" t="s">
        <v>3243</v>
      </c>
      <c r="B889" t="s">
        <v>3244</v>
      </c>
      <c r="C889" s="91" t="s">
        <v>3243</v>
      </c>
      <c r="D889" s="91"/>
      <c r="E889" s="92" t="s">
        <v>3245</v>
      </c>
      <c r="F889" s="92"/>
      <c r="G889" s="92"/>
      <c r="H889" s="92" t="s">
        <v>62</v>
      </c>
      <c r="I889" s="92" t="s">
        <v>3246</v>
      </c>
      <c r="J889" s="92" t="s">
        <v>3247</v>
      </c>
      <c r="K889" s="92"/>
      <c r="L889" s="52" t="str">
        <f>HYPERLINK("https://zibs.nl/wiki/part.TijdsInterval-v1.0(2017NL)#","")</f>
        <v/>
      </c>
      <c r="M889" s="92"/>
      <c r="N889" s="53"/>
      <c r="O889" s="54"/>
    </row>
    <row r="890" spans="1:15" ht="15" x14ac:dyDescent="0.25">
      <c r="A890" s="91" t="s">
        <v>3243</v>
      </c>
      <c r="B890" t="s">
        <v>3244</v>
      </c>
      <c r="C890" s="93" t="s">
        <v>3248</v>
      </c>
      <c r="D890" s="93"/>
      <c r="E890" s="94" t="s">
        <v>3249</v>
      </c>
      <c r="F890" s="94" t="s">
        <v>88</v>
      </c>
      <c r="G890" s="94" t="s">
        <v>69</v>
      </c>
      <c r="H890" s="94" t="s">
        <v>70</v>
      </c>
      <c r="I890" s="94" t="s">
        <v>3250</v>
      </c>
      <c r="J890" s="94" t="s">
        <v>3251</v>
      </c>
      <c r="K890" s="94"/>
      <c r="L890" s="52" t="str">
        <f>HYPERLINK("https://zibs.nl/wiki/part.TijdsInterval-v1.0(2017NL)#","")</f>
        <v/>
      </c>
      <c r="M890" s="94"/>
      <c r="N890" s="53"/>
      <c r="O890" s="54"/>
    </row>
    <row r="891" spans="1:15" ht="15" x14ac:dyDescent="0.25">
      <c r="A891" s="91" t="s">
        <v>3243</v>
      </c>
      <c r="B891" t="s">
        <v>3244</v>
      </c>
      <c r="C891" s="93" t="s">
        <v>3252</v>
      </c>
      <c r="D891" s="93"/>
      <c r="E891" s="94" t="s">
        <v>3253</v>
      </c>
      <c r="F891" s="94" t="s">
        <v>88</v>
      </c>
      <c r="G891" s="94" t="s">
        <v>69</v>
      </c>
      <c r="H891" s="94" t="s">
        <v>70</v>
      </c>
      <c r="I891" s="94" t="s">
        <v>3254</v>
      </c>
      <c r="J891" s="94" t="s">
        <v>3255</v>
      </c>
      <c r="K891" s="94"/>
      <c r="L891" s="52" t="str">
        <f>HYPERLINK("https://zibs.nl/wiki/part.TijdsInterval-v1.0(2017NL)#","")</f>
        <v/>
      </c>
      <c r="M891" s="94"/>
      <c r="N891" s="53"/>
      <c r="O891" s="54"/>
    </row>
    <row r="892" spans="1:15" ht="15" x14ac:dyDescent="0.25">
      <c r="A892" s="91" t="s">
        <v>3243</v>
      </c>
      <c r="B892" t="s">
        <v>3244</v>
      </c>
      <c r="C892" s="93" t="s">
        <v>3256</v>
      </c>
      <c r="D892" s="93"/>
      <c r="E892" s="94" t="s">
        <v>3257</v>
      </c>
      <c r="F892" s="94" t="s">
        <v>97</v>
      </c>
      <c r="G892" s="94" t="s">
        <v>69</v>
      </c>
      <c r="H892" s="94" t="s">
        <v>70</v>
      </c>
      <c r="I892" s="94" t="s">
        <v>3258</v>
      </c>
      <c r="J892" s="94" t="s">
        <v>3259</v>
      </c>
      <c r="K892" s="94"/>
      <c r="L892" s="52" t="str">
        <f>HYPERLINK("https://zibs.nl/wiki/part.TijdsInterval-v1.0(2017NL)#","")</f>
        <v/>
      </c>
      <c r="M892" s="94"/>
      <c r="N892" s="53"/>
      <c r="O892" s="54"/>
    </row>
    <row r="893" spans="1:15" x14ac:dyDescent="0.2">
      <c r="A893" s="99"/>
    </row>
    <row r="894" spans="1:15" x14ac:dyDescent="0.2">
      <c r="A894" s="9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4dc1c62-d7e8-4781-823d-3b885271a659">
      <Terms xmlns="http://schemas.microsoft.com/office/infopath/2007/PartnerControls"/>
    </lcf76f155ced4ddcb4097134ff3c332f>
    <TaxCatchAll xmlns="e740c7a3-2f78-48b4-87a4-d18b321528d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0A5726F4D9692489E1357F29500D710" ma:contentTypeVersion="16" ma:contentTypeDescription="Een nieuw document maken." ma:contentTypeScope="" ma:versionID="f9235dcdd8b228aef7c4bfd0ff47ffde">
  <xsd:schema xmlns:xsd="http://www.w3.org/2001/XMLSchema" xmlns:xs="http://www.w3.org/2001/XMLSchema" xmlns:p="http://schemas.microsoft.com/office/2006/metadata/properties" xmlns:ns2="84dc1c62-d7e8-4781-823d-3b885271a659" xmlns:ns3="e740c7a3-2f78-48b4-87a4-d18b321528dd" targetNamespace="http://schemas.microsoft.com/office/2006/metadata/properties" ma:root="true" ma:fieldsID="6eb277bb6d25f502963bc0ec02ed419b" ns2:_="" ns3:_="">
    <xsd:import namespace="84dc1c62-d7e8-4781-823d-3b885271a659"/>
    <xsd:import namespace="e740c7a3-2f78-48b4-87a4-d18b321528d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c1c62-d7e8-4781-823d-3b885271a6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28a9dc71-c507-41d5-b78e-eebc0d486c6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40c7a3-2f78-48b4-87a4-d18b321528dd"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afb697f8-bc24-48aa-a67c-74966ea6ffa6}" ma:internalName="TaxCatchAll" ma:showField="CatchAllData" ma:web="e740c7a3-2f78-48b4-87a4-d18b321528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3A98D4-F370-4765-81A1-51FCC518B119}">
  <ds:schemaRefs>
    <ds:schemaRef ds:uri="http://schemas.microsoft.com/office/2006/metadata/properties"/>
    <ds:schemaRef ds:uri="http://schemas.microsoft.com/office/infopath/2007/PartnerControls"/>
    <ds:schemaRef ds:uri="f5e2afc8-440a-4d2c-8b6c-13a1b35c89cf"/>
    <ds:schemaRef ds:uri="a2453e48-12aa-4545-87d4-144d3010c619"/>
  </ds:schemaRefs>
</ds:datastoreItem>
</file>

<file path=customXml/itemProps2.xml><?xml version="1.0" encoding="utf-8"?>
<ds:datastoreItem xmlns:ds="http://schemas.openxmlformats.org/officeDocument/2006/customXml" ds:itemID="{54BCE979-EED3-44CF-B08F-CC98E08E2905}">
  <ds:schemaRefs>
    <ds:schemaRef ds:uri="http://schemas.microsoft.com/sharepoint/v3/contenttype/forms"/>
  </ds:schemaRefs>
</ds:datastoreItem>
</file>

<file path=customXml/itemProps3.xml><?xml version="1.0" encoding="utf-8"?>
<ds:datastoreItem xmlns:ds="http://schemas.openxmlformats.org/officeDocument/2006/customXml" ds:itemID="{5A3EAA29-1E00-45A5-BA34-9804AA285F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Inclusiecriteria</vt:lpstr>
      <vt:lpstr>Analyse informatiebehoefte</vt:lpstr>
      <vt:lpstr>Datadictionary QRNS-glioblastoo</vt:lpstr>
      <vt:lpstr>DTVT</vt:lpstr>
      <vt:lpstr>Overige codelijsten</vt:lpstr>
      <vt:lpstr>Waardelijsten</vt:lpstr>
      <vt:lpstr>Datadictionary ZIBs</vt:lpstr>
    </vt:vector>
  </TitlesOfParts>
  <Manager/>
  <Company>LUMC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Rooden, S.M. van (MSTAT)</dc:creator>
  <cp:keywords/>
  <dc:description/>
  <cp:lastModifiedBy>Martine van Loon | QualiCura</cp:lastModifiedBy>
  <cp:revision/>
  <dcterms:created xsi:type="dcterms:W3CDTF">2015-12-02T13:44:56Z</dcterms:created>
  <dcterms:modified xsi:type="dcterms:W3CDTF">2024-06-19T13:34:48Z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0x010100B0A5726F4D9692489E1357F29500D710</vt:lpwstr>
  </property>
</Properties>
</file>